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heets/sheet1.xml" ContentType="application/vnd.openxmlformats-officedocument.spreadsheetml.chart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charts/chart1.xml" ContentType="application/vnd.openxmlformats-officedocument.drawingml.chart+xml"/>
  <Override PartName="/xl/drawings/drawing4.xml" ContentType="application/vnd.openxmlformats-officedocument.drawingml.chartshape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9"/>
  <workbookPr date1904="1" codeName="ThisWorkbook"/>
  <mc:AlternateContent xmlns:mc="http://schemas.openxmlformats.org/markup-compatibility/2006">
    <mc:Choice Requires="x15">
      <x15ac:absPath xmlns:x15ac="http://schemas.microsoft.com/office/spreadsheetml/2010/11/ac" url="/Users/Shared/Previously Relocated Items/Security/All My Stuff/Home Page 2002/pc/blog/"/>
    </mc:Choice>
  </mc:AlternateContent>
  <xr:revisionPtr revIDLastSave="0" documentId="13_ncr:1_{76C4E2FA-2F13-D14D-B76A-B8C8C31FAA43}" xr6:coauthVersionLast="47" xr6:coauthVersionMax="47" xr10:uidLastSave="{00000000-0000-0000-0000-000000000000}"/>
  <bookViews>
    <workbookView xWindow="7300" yWindow="-25100" windowWidth="34560" windowHeight="25100" tabRatio="772" activeTab="2" xr2:uid="{00000000-000D-0000-FFFF-FFFF00000000}"/>
  </bookViews>
  <sheets>
    <sheet name="Input sheet" sheetId="11" r:id="rId1"/>
    <sheet name="Valuation output" sheetId="13" r:id="rId2"/>
    <sheet name="Stories to Numbers" sheetId="28" r:id="rId3"/>
    <sheet name="Diagnostics" sheetId="12" r:id="rId4"/>
    <sheet name="TeslaValue" sheetId="32" r:id="rId5"/>
    <sheet name="Business Value" sheetId="31" r:id="rId6"/>
    <sheet name="Option value" sheetId="14" r:id="rId7"/>
    <sheet name="Cost of capital worksheet" sheetId="19" r:id="rId8"/>
    <sheet name="R&amp; D converter" sheetId="25" r:id="rId9"/>
    <sheet name="Operating lease converter" sheetId="18" r:id="rId10"/>
    <sheet name="Country equity risk premiums" sheetId="23" r:id="rId11"/>
    <sheet name="Synthetic rating" sheetId="20" r:id="rId12"/>
    <sheet name="Industry Average Beta (US)" sheetId="8" r:id="rId13"/>
    <sheet name="Industry Average Beta (Global)" sheetId="26" r:id="rId14"/>
    <sheet name="Trailing 12 month" sheetId="24" r:id="rId15"/>
    <sheet name="Answer keys" sheetId="21" r:id="rId16"/>
  </sheets>
  <definedNames>
    <definedName name="_xlchart.v1.0" hidden="1">'Business Value'!$A$2:$A$5</definedName>
    <definedName name="_xlchart.v1.1" hidden="1">'Business Value'!$B$1</definedName>
    <definedName name="_xlchart.v1.2" hidden="1">'Business Value'!$B$2:$B$5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 i="13" l="1"/>
  <c r="J5" i="13"/>
  <c r="I5" i="13"/>
  <c r="H5" i="13"/>
  <c r="K4" i="13"/>
  <c r="J4" i="13"/>
  <c r="I4" i="13"/>
  <c r="H4" i="13"/>
  <c r="K3" i="13"/>
  <c r="J3" i="13"/>
  <c r="I3" i="13"/>
  <c r="H3" i="13"/>
  <c r="F5" i="13"/>
  <c r="E5" i="13"/>
  <c r="D5" i="13"/>
  <c r="C5" i="13"/>
  <c r="F4" i="13"/>
  <c r="E4" i="13"/>
  <c r="D4" i="13"/>
  <c r="C4" i="13"/>
  <c r="F3" i="13"/>
  <c r="E3" i="13"/>
  <c r="D3" i="13"/>
  <c r="C3" i="13"/>
  <c r="G5" i="13"/>
  <c r="G4" i="13"/>
  <c r="G3" i="13"/>
  <c r="B21" i="11"/>
  <c r="C14" i="11"/>
  <c r="B14" i="11"/>
  <c r="C13" i="11"/>
  <c r="B13" i="11"/>
  <c r="B38" i="13"/>
  <c r="C49" i="13"/>
  <c r="L11" i="13"/>
  <c r="G6" i="13"/>
  <c r="F6" i="13"/>
  <c r="E6" i="13"/>
  <c r="D6" i="13"/>
  <c r="C6" i="13"/>
  <c r="L6" i="13"/>
  <c r="E228" i="23"/>
  <c r="B228" i="23" s="1"/>
  <c r="E224" i="23"/>
  <c r="B224" i="23"/>
  <c r="E223" i="23"/>
  <c r="B223" i="23"/>
  <c r="E222" i="23"/>
  <c r="B222" i="23"/>
  <c r="E221" i="23"/>
  <c r="B221" i="23"/>
  <c r="E220" i="23"/>
  <c r="B220" i="23"/>
  <c r="E219" i="23"/>
  <c r="B219" i="23" s="1"/>
  <c r="E218" i="23"/>
  <c r="B218" i="23"/>
  <c r="E217" i="23"/>
  <c r="B217" i="23"/>
  <c r="E216" i="23"/>
  <c r="B216" i="23"/>
  <c r="E215" i="23"/>
  <c r="B215" i="23"/>
  <c r="E214" i="23"/>
  <c r="B214" i="23"/>
  <c r="B210" i="23"/>
  <c r="B209" i="23"/>
  <c r="B208" i="23"/>
  <c r="B207" i="23"/>
  <c r="B206" i="23"/>
  <c r="B205" i="23"/>
  <c r="B204" i="23"/>
  <c r="B203" i="23"/>
  <c r="B202" i="23"/>
  <c r="B201" i="23"/>
  <c r="D196" i="23"/>
  <c r="D195" i="23"/>
  <c r="D194" i="23"/>
  <c r="D193" i="23"/>
  <c r="D192" i="23"/>
  <c r="D191" i="23"/>
  <c r="D190" i="23"/>
  <c r="D189" i="23"/>
  <c r="D188" i="23"/>
  <c r="D187" i="23"/>
  <c r="D186" i="23"/>
  <c r="D185" i="23"/>
  <c r="D184" i="23"/>
  <c r="D183" i="23"/>
  <c r="D182" i="23"/>
  <c r="D181" i="23"/>
  <c r="D180" i="23"/>
  <c r="D179" i="23"/>
  <c r="D178" i="23"/>
  <c r="D177" i="23"/>
  <c r="D176" i="23"/>
  <c r="D175" i="23"/>
  <c r="D174" i="23"/>
  <c r="D173" i="23"/>
  <c r="D172" i="23"/>
  <c r="D171" i="23"/>
  <c r="D170" i="23"/>
  <c r="D169" i="23"/>
  <c r="D168" i="23"/>
  <c r="D167" i="23"/>
  <c r="D166" i="23"/>
  <c r="D165" i="23"/>
  <c r="D164" i="23"/>
  <c r="D163" i="23"/>
  <c r="D162" i="23"/>
  <c r="D161" i="23"/>
  <c r="D160" i="23"/>
  <c r="D159" i="23"/>
  <c r="D158" i="23"/>
  <c r="D157" i="23"/>
  <c r="D156" i="23"/>
  <c r="D155" i="23"/>
  <c r="D154" i="23"/>
  <c r="D153" i="23"/>
  <c r="D152" i="23"/>
  <c r="D151" i="23"/>
  <c r="D150" i="23"/>
  <c r="D149" i="23"/>
  <c r="D148" i="23"/>
  <c r="D147" i="23"/>
  <c r="D146" i="23"/>
  <c r="D145" i="23"/>
  <c r="D144" i="23"/>
  <c r="D143" i="23"/>
  <c r="D142" i="23"/>
  <c r="D141" i="23"/>
  <c r="D140" i="23"/>
  <c r="D139" i="23"/>
  <c r="D138" i="23"/>
  <c r="D137" i="23"/>
  <c r="D136" i="23"/>
  <c r="D135" i="23"/>
  <c r="D134" i="23"/>
  <c r="D133" i="23"/>
  <c r="D132" i="23"/>
  <c r="D131" i="23"/>
  <c r="D130" i="23"/>
  <c r="D129" i="23"/>
  <c r="D128" i="23"/>
  <c r="D127" i="23"/>
  <c r="D126" i="23"/>
  <c r="D125" i="23"/>
  <c r="D124" i="23"/>
  <c r="D123" i="23"/>
  <c r="D122" i="23"/>
  <c r="D121" i="23"/>
  <c r="D120" i="23"/>
  <c r="D119" i="23"/>
  <c r="D118" i="23"/>
  <c r="D117" i="23"/>
  <c r="D116" i="23"/>
  <c r="D115" i="23"/>
  <c r="D114" i="23"/>
  <c r="D113" i="23"/>
  <c r="D112" i="23"/>
  <c r="D111" i="23"/>
  <c r="D110" i="23"/>
  <c r="D109" i="23"/>
  <c r="D108" i="23"/>
  <c r="D107" i="23"/>
  <c r="D106" i="23"/>
  <c r="D105" i="23"/>
  <c r="D104" i="23"/>
  <c r="D103" i="23"/>
  <c r="D102" i="23"/>
  <c r="D101" i="23"/>
  <c r="D100" i="23"/>
  <c r="D99" i="23"/>
  <c r="D98" i="23"/>
  <c r="D97" i="23"/>
  <c r="D96" i="23"/>
  <c r="D95" i="23"/>
  <c r="D94" i="23"/>
  <c r="D93" i="23"/>
  <c r="D92" i="23"/>
  <c r="D91" i="23"/>
  <c r="D90" i="23"/>
  <c r="D89" i="23"/>
  <c r="D88" i="23"/>
  <c r="D87" i="23"/>
  <c r="D86" i="23"/>
  <c r="D85" i="23"/>
  <c r="D84" i="23"/>
  <c r="D83" i="23"/>
  <c r="D82" i="23"/>
  <c r="D81" i="23"/>
  <c r="D80" i="23"/>
  <c r="D79" i="23"/>
  <c r="D78" i="23"/>
  <c r="D77" i="23"/>
  <c r="D76" i="23"/>
  <c r="D75" i="23"/>
  <c r="D74" i="23"/>
  <c r="D73" i="23"/>
  <c r="D72" i="23"/>
  <c r="D71" i="23"/>
  <c r="D70" i="23"/>
  <c r="D69" i="23"/>
  <c r="D68" i="23"/>
  <c r="D67" i="23"/>
  <c r="D66" i="23"/>
  <c r="D65" i="23"/>
  <c r="D64" i="23"/>
  <c r="D63" i="23"/>
  <c r="D62" i="23"/>
  <c r="D61" i="23"/>
  <c r="D60" i="23"/>
  <c r="D59" i="23"/>
  <c r="D58" i="23"/>
  <c r="D57" i="23"/>
  <c r="D56" i="23"/>
  <c r="D55" i="23"/>
  <c r="D54" i="23"/>
  <c r="D53" i="23"/>
  <c r="D52" i="23"/>
  <c r="D51" i="23"/>
  <c r="D50" i="23"/>
  <c r="D49" i="23"/>
  <c r="D48" i="23"/>
  <c r="D47" i="23"/>
  <c r="D46" i="23"/>
  <c r="D45" i="23"/>
  <c r="D44" i="23"/>
  <c r="D43" i="23"/>
  <c r="D42" i="23"/>
  <c r="D41" i="23"/>
  <c r="D40" i="23"/>
  <c r="D39" i="23"/>
  <c r="D38" i="23"/>
  <c r="D37" i="23"/>
  <c r="D36" i="23"/>
  <c r="D35" i="23"/>
  <c r="D34" i="23"/>
  <c r="D33" i="23"/>
  <c r="D32" i="23"/>
  <c r="D31" i="23"/>
  <c r="D30" i="23"/>
  <c r="D29" i="23"/>
  <c r="D28" i="23"/>
  <c r="D27" i="23"/>
  <c r="D26" i="23"/>
  <c r="D25" i="23"/>
  <c r="D24" i="23"/>
  <c r="D23" i="23"/>
  <c r="D22" i="23"/>
  <c r="D21" i="23"/>
  <c r="D20" i="23"/>
  <c r="D19" i="23"/>
  <c r="D18" i="23"/>
  <c r="D17" i="23"/>
  <c r="D16" i="23"/>
  <c r="D15" i="23"/>
  <c r="D14" i="23"/>
  <c r="D13" i="23"/>
  <c r="D12" i="23"/>
  <c r="D11" i="23"/>
  <c r="D10" i="23"/>
  <c r="D9" i="23"/>
  <c r="D8" i="23"/>
  <c r="D7" i="23"/>
  <c r="D6" i="23"/>
  <c r="D5" i="23"/>
  <c r="L4" i="13"/>
  <c r="H52" i="13"/>
  <c r="I52" i="13" s="1"/>
  <c r="J52" i="13" s="1"/>
  <c r="K52" i="13" s="1"/>
  <c r="L52" i="13" s="1"/>
  <c r="H51" i="13"/>
  <c r="I51" i="13" s="1"/>
  <c r="J51" i="13" s="1"/>
  <c r="K51" i="13" s="1"/>
  <c r="L51" i="13" s="1"/>
  <c r="H50" i="13"/>
  <c r="I50" i="13" s="1"/>
  <c r="J50" i="13" s="1"/>
  <c r="K50" i="13" s="1"/>
  <c r="L50" i="13" s="1"/>
  <c r="C52" i="13"/>
  <c r="D52" i="13" s="1"/>
  <c r="E52" i="13" s="1"/>
  <c r="F52" i="13" s="1"/>
  <c r="G52" i="13" s="1"/>
  <c r="C51" i="13"/>
  <c r="D51" i="13" s="1"/>
  <c r="E51" i="13" s="1"/>
  <c r="F51" i="13" s="1"/>
  <c r="G51" i="13" s="1"/>
  <c r="C50" i="13"/>
  <c r="D50" i="13" s="1"/>
  <c r="E50" i="13" s="1"/>
  <c r="F50" i="13" s="1"/>
  <c r="G50" i="13" s="1"/>
  <c r="L5" i="13"/>
  <c r="B5" i="31"/>
  <c r="B4" i="31"/>
  <c r="B3" i="31"/>
  <c r="M11" i="13"/>
  <c r="F10" i="13"/>
  <c r="K9" i="13"/>
  <c r="B5" i="13"/>
  <c r="B4" i="13"/>
  <c r="B46" i="11"/>
  <c r="B45" i="11"/>
  <c r="I6" i="13" l="1"/>
  <c r="D17" i="13"/>
  <c r="H16" i="13"/>
  <c r="C18" i="13"/>
  <c r="H6" i="13"/>
  <c r="J6" i="13"/>
  <c r="K6" i="13"/>
  <c r="C10" i="13"/>
  <c r="F11" i="13"/>
  <c r="L10" i="13"/>
  <c r="M10" i="13" s="1"/>
  <c r="G10" i="13"/>
  <c r="C9" i="13"/>
  <c r="F9" i="13"/>
  <c r="G9" i="13"/>
  <c r="L9" i="13"/>
  <c r="M9" i="13" s="1"/>
  <c r="H9" i="13"/>
  <c r="E9" i="13"/>
  <c r="D9" i="13"/>
  <c r="H10" i="13"/>
  <c r="I10" i="13"/>
  <c r="J10" i="13"/>
  <c r="D10" i="13"/>
  <c r="C11" i="13"/>
  <c r="G11" i="13"/>
  <c r="I11" i="13"/>
  <c r="J11" i="13"/>
  <c r="E10" i="13"/>
  <c r="D11" i="13"/>
  <c r="H11" i="13"/>
  <c r="K11" i="13"/>
  <c r="E11" i="13"/>
  <c r="I9" i="13"/>
  <c r="K10" i="13"/>
  <c r="J9" i="13"/>
  <c r="I16" i="13" l="1"/>
  <c r="H17" i="13"/>
  <c r="G2" i="28"/>
  <c r="J16" i="13" l="1"/>
  <c r="I17" i="13"/>
  <c r="C17" i="13"/>
  <c r="C16" i="13"/>
  <c r="L16" i="13" l="1"/>
  <c r="K16" i="13"/>
  <c r="D16" i="13"/>
  <c r="D18" i="13"/>
  <c r="E17" i="13"/>
  <c r="J17" i="13"/>
  <c r="B33" i="13"/>
  <c r="G33" i="28" s="1"/>
  <c r="M54" i="13"/>
  <c r="F13" i="28" s="1"/>
  <c r="K53" i="19"/>
  <c r="I53" i="19"/>
  <c r="J53" i="19" s="1"/>
  <c r="I54" i="19"/>
  <c r="J54" i="19" s="1"/>
  <c r="K54" i="19"/>
  <c r="I55" i="19"/>
  <c r="J55" i="19" s="1"/>
  <c r="K55" i="19"/>
  <c r="I56" i="19"/>
  <c r="J56" i="19" s="1"/>
  <c r="K56" i="19"/>
  <c r="I57" i="19"/>
  <c r="J57" i="19" s="1"/>
  <c r="K57" i="19"/>
  <c r="I58" i="19"/>
  <c r="J58" i="19" s="1"/>
  <c r="K58" i="19"/>
  <c r="I59" i="19"/>
  <c r="J59" i="19" s="1"/>
  <c r="K59" i="19"/>
  <c r="I60" i="19"/>
  <c r="J60" i="19" s="1"/>
  <c r="K60" i="19"/>
  <c r="I61" i="19"/>
  <c r="J61" i="19" s="1"/>
  <c r="K61" i="19"/>
  <c r="I62" i="19"/>
  <c r="J62" i="19" s="1"/>
  <c r="K62" i="19"/>
  <c r="I63" i="19"/>
  <c r="J63" i="19" s="1"/>
  <c r="K63" i="19"/>
  <c r="H64" i="19"/>
  <c r="I52" i="19"/>
  <c r="J52" i="19" s="1"/>
  <c r="K52" i="19"/>
  <c r="J26" i="11"/>
  <c r="E40" i="24"/>
  <c r="E38" i="24"/>
  <c r="E37" i="24"/>
  <c r="E36" i="24"/>
  <c r="C14" i="24"/>
  <c r="D14" i="24"/>
  <c r="D12" i="20"/>
  <c r="I23" i="19"/>
  <c r="K23" i="19" s="1"/>
  <c r="I24" i="19"/>
  <c r="K24" i="19" s="1"/>
  <c r="I26" i="19"/>
  <c r="I25" i="19"/>
  <c r="I27" i="19"/>
  <c r="I28" i="19"/>
  <c r="K28" i="19" s="1"/>
  <c r="I21" i="19"/>
  <c r="K21" i="19" s="1"/>
  <c r="I29" i="19"/>
  <c r="K29" i="19" s="1"/>
  <c r="G29" i="19"/>
  <c r="I22" i="19"/>
  <c r="K22" i="19" s="1"/>
  <c r="G28" i="19"/>
  <c r="G27" i="19"/>
  <c r="G26" i="19"/>
  <c r="G25" i="19"/>
  <c r="G24" i="19"/>
  <c r="G23" i="19"/>
  <c r="G22" i="19"/>
  <c r="G21" i="19"/>
  <c r="I15" i="19"/>
  <c r="I14" i="19"/>
  <c r="I13" i="19"/>
  <c r="I12" i="19"/>
  <c r="I11" i="19"/>
  <c r="I10" i="19"/>
  <c r="I9" i="19"/>
  <c r="I8" i="19"/>
  <c r="I7" i="19"/>
  <c r="I6" i="19"/>
  <c r="M2" i="13"/>
  <c r="J27" i="11"/>
  <c r="B21" i="13"/>
  <c r="B12" i="19"/>
  <c r="B25" i="19" s="1"/>
  <c r="K27" i="11"/>
  <c r="J15" i="19"/>
  <c r="K15" i="19" s="1"/>
  <c r="J14" i="19"/>
  <c r="K14" i="19" s="1"/>
  <c r="H22" i="19"/>
  <c r="H32" i="19"/>
  <c r="J23" i="19"/>
  <c r="B14" i="24"/>
  <c r="B13" i="13"/>
  <c r="B11" i="28" s="1"/>
  <c r="C11" i="28" s="1"/>
  <c r="E2" i="24"/>
  <c r="E4" i="24"/>
  <c r="B22" i="18"/>
  <c r="A22" i="18"/>
  <c r="B23" i="18"/>
  <c r="A23" i="18"/>
  <c r="B24" i="18"/>
  <c r="A24" i="18"/>
  <c r="B25" i="18"/>
  <c r="A25" i="18"/>
  <c r="B26" i="18"/>
  <c r="A26" i="18"/>
  <c r="D18" i="18"/>
  <c r="B27" i="18"/>
  <c r="E3" i="24"/>
  <c r="A25" i="25"/>
  <c r="B25" i="25"/>
  <c r="A12" i="25"/>
  <c r="A26" i="25" s="1"/>
  <c r="B26" i="25"/>
  <c r="B27" i="25"/>
  <c r="C24" i="25"/>
  <c r="B28" i="25"/>
  <c r="B29" i="25"/>
  <c r="B30" i="25"/>
  <c r="B31" i="25"/>
  <c r="B32" i="25"/>
  <c r="B33" i="25"/>
  <c r="B34" i="25"/>
  <c r="M23" i="13"/>
  <c r="B28" i="13" s="1"/>
  <c r="B6" i="19"/>
  <c r="B7" i="19"/>
  <c r="E5" i="24"/>
  <c r="B19" i="19"/>
  <c r="B18" i="19"/>
  <c r="D48" i="19"/>
  <c r="B26" i="19"/>
  <c r="H18" i="19"/>
  <c r="J5" i="19" s="1"/>
  <c r="J9" i="19"/>
  <c r="K9" i="19"/>
  <c r="J10" i="19"/>
  <c r="K10" i="19" s="1"/>
  <c r="J11" i="19"/>
  <c r="K11" i="19" s="1"/>
  <c r="J12" i="19"/>
  <c r="K12" i="19"/>
  <c r="J13" i="19"/>
  <c r="K13" i="19" s="1"/>
  <c r="J17" i="19"/>
  <c r="K17" i="19" s="1"/>
  <c r="D50" i="19"/>
  <c r="M13" i="13"/>
  <c r="F11" i="28" s="1"/>
  <c r="D11" i="28" s="1"/>
  <c r="B37" i="13"/>
  <c r="B39" i="13"/>
  <c r="A1" i="28"/>
  <c r="F7" i="20"/>
  <c r="I36" i="19"/>
  <c r="K36" i="19" s="1"/>
  <c r="I47" i="19"/>
  <c r="K47" i="19" s="1"/>
  <c r="I46" i="19"/>
  <c r="J46" i="19" s="1"/>
  <c r="I45" i="19"/>
  <c r="K45" i="19" s="1"/>
  <c r="I44" i="19"/>
  <c r="K44" i="19" s="1"/>
  <c r="I43" i="19"/>
  <c r="K43" i="19" s="1"/>
  <c r="I42" i="19"/>
  <c r="J42" i="19" s="1"/>
  <c r="I41" i="19"/>
  <c r="K41" i="19" s="1"/>
  <c r="I40" i="19"/>
  <c r="K40" i="19" s="1"/>
  <c r="I39" i="19"/>
  <c r="J39" i="19" s="1"/>
  <c r="K39" i="19"/>
  <c r="I38" i="19"/>
  <c r="K38" i="19" s="1"/>
  <c r="I37" i="19"/>
  <c r="J37" i="19" s="1"/>
  <c r="K30" i="11"/>
  <c r="K29" i="11"/>
  <c r="J30" i="11"/>
  <c r="J29" i="11"/>
  <c r="K28" i="11"/>
  <c r="K26" i="11"/>
  <c r="K25" i="11"/>
  <c r="J25" i="11"/>
  <c r="C4" i="20"/>
  <c r="H48" i="19"/>
  <c r="J28" i="11"/>
  <c r="A27" i="18"/>
  <c r="B45" i="13"/>
  <c r="D9" i="14"/>
  <c r="F14" i="14" s="1"/>
  <c r="D8" i="14"/>
  <c r="F13" i="14" s="1"/>
  <c r="D5" i="14"/>
  <c r="F16" i="14" s="1"/>
  <c r="D4" i="14"/>
  <c r="C17" i="14" s="1"/>
  <c r="D3" i="14"/>
  <c r="C14" i="14" s="1"/>
  <c r="C16" i="14" s="1"/>
  <c r="D7" i="14"/>
  <c r="F15" i="14" s="1"/>
  <c r="F18" i="14" s="1"/>
  <c r="F17" i="14"/>
  <c r="J7" i="19"/>
  <c r="K7" i="19" s="1"/>
  <c r="J8" i="19"/>
  <c r="K8" i="19" s="1"/>
  <c r="I25" i="11"/>
  <c r="J16" i="19"/>
  <c r="K16" i="19" s="1"/>
  <c r="B3" i="13"/>
  <c r="C25" i="25"/>
  <c r="J6" i="19"/>
  <c r="J21" i="19"/>
  <c r="J22" i="19"/>
  <c r="J29" i="19"/>
  <c r="J26" i="19"/>
  <c r="K26" i="19"/>
  <c r="J30" i="19"/>
  <c r="K30" i="19"/>
  <c r="B24" i="25"/>
  <c r="D24" i="25" s="1"/>
  <c r="J28" i="19"/>
  <c r="J27" i="19"/>
  <c r="K27" i="19"/>
  <c r="J31" i="19"/>
  <c r="K31" i="19"/>
  <c r="J25" i="19"/>
  <c r="K25" i="19"/>
  <c r="J24" i="19"/>
  <c r="J32" i="19"/>
  <c r="I5" i="19"/>
  <c r="D25" i="25" l="1"/>
  <c r="E16" i="13"/>
  <c r="E26" i="25"/>
  <c r="C26" i="25"/>
  <c r="A13" i="25"/>
  <c r="D26" i="25"/>
  <c r="E18" i="13"/>
  <c r="J43" i="19"/>
  <c r="C13" i="13"/>
  <c r="D13" i="13" s="1"/>
  <c r="E13" i="13" s="1"/>
  <c r="F13" i="13" s="1"/>
  <c r="G13" i="13" s="1"/>
  <c r="H13" i="13" s="1"/>
  <c r="I13" i="13" s="1"/>
  <c r="J13" i="13" s="1"/>
  <c r="K13" i="13" s="1"/>
  <c r="L13" i="13" s="1"/>
  <c r="K6" i="19"/>
  <c r="F9" i="28"/>
  <c r="D9" i="28" s="1"/>
  <c r="M4" i="13"/>
  <c r="M5" i="13"/>
  <c r="B7" i="13"/>
  <c r="D35" i="28"/>
  <c r="E25" i="25"/>
  <c r="J47" i="19"/>
  <c r="K37" i="19"/>
  <c r="K42" i="19"/>
  <c r="J41" i="19"/>
  <c r="K46" i="19"/>
  <c r="J45" i="19"/>
  <c r="J64" i="19"/>
  <c r="K64" i="19" s="1"/>
  <c r="B11" i="19" s="1"/>
  <c r="J40" i="19"/>
  <c r="J36" i="19"/>
  <c r="J44" i="19"/>
  <c r="K32" i="19"/>
  <c r="F14" i="28"/>
  <c r="D14" i="28" s="1"/>
  <c r="J18" i="19"/>
  <c r="K5" i="19"/>
  <c r="J38" i="19"/>
  <c r="B48" i="19"/>
  <c r="F12" i="28"/>
  <c r="C41" i="19"/>
  <c r="C42" i="19"/>
  <c r="C44" i="19" s="1"/>
  <c r="C15" i="18"/>
  <c r="C50" i="19"/>
  <c r="K17" i="13" l="1"/>
  <c r="L17" i="13"/>
  <c r="F16" i="13"/>
  <c r="G16" i="13"/>
  <c r="G17" i="13"/>
  <c r="F17" i="13"/>
  <c r="A27" i="25"/>
  <c r="A14" i="25"/>
  <c r="F18" i="13"/>
  <c r="K18" i="19"/>
  <c r="B15" i="19" s="1"/>
  <c r="B9" i="28"/>
  <c r="J48" i="19"/>
  <c r="K48" i="19" s="1"/>
  <c r="C26" i="18"/>
  <c r="C24" i="18"/>
  <c r="C23" i="18"/>
  <c r="C22" i="18"/>
  <c r="C27" i="18"/>
  <c r="C25" i="18"/>
  <c r="A15" i="25" l="1"/>
  <c r="A28" i="25"/>
  <c r="C27" i="25"/>
  <c r="D27" i="25" s="1"/>
  <c r="E27" i="25"/>
  <c r="G18" i="13"/>
  <c r="C28" i="18"/>
  <c r="C28" i="25" l="1"/>
  <c r="D28" i="25" s="1"/>
  <c r="E28" i="25"/>
  <c r="A29" i="25"/>
  <c r="A16" i="25"/>
  <c r="F33" i="18"/>
  <c r="B36" i="13"/>
  <c r="D34" i="28" s="1"/>
  <c r="F6" i="20"/>
  <c r="F31" i="18"/>
  <c r="F32" i="18" s="1"/>
  <c r="F34" i="18"/>
  <c r="A30" i="25" l="1"/>
  <c r="A17" i="25"/>
  <c r="C29" i="25"/>
  <c r="D29" i="25" s="1"/>
  <c r="E29" i="25"/>
  <c r="B33" i="19"/>
  <c r="C43" i="19" s="1"/>
  <c r="C48" i="19" s="1"/>
  <c r="F5" i="20"/>
  <c r="D9" i="20" s="1"/>
  <c r="C30" i="25" l="1"/>
  <c r="D30" i="25" s="1"/>
  <c r="E30" i="25"/>
  <c r="A18" i="25"/>
  <c r="A31" i="25"/>
  <c r="C45" i="19"/>
  <c r="B50" i="19" s="1"/>
  <c r="E48" i="19"/>
  <c r="C49" i="19" s="1"/>
  <c r="D11" i="20"/>
  <c r="D13" i="20" s="1"/>
  <c r="D10" i="20"/>
  <c r="C31" i="25" l="1"/>
  <c r="D31" i="25" s="1"/>
  <c r="E31" i="25"/>
  <c r="A19" i="25"/>
  <c r="A32" i="25"/>
  <c r="C8" i="13"/>
  <c r="K8" i="13"/>
  <c r="J8" i="13"/>
  <c r="I8" i="13"/>
  <c r="L8" i="13"/>
  <c r="H8" i="13"/>
  <c r="D49" i="19"/>
  <c r="B49" i="19"/>
  <c r="D8" i="13"/>
  <c r="E8" i="13"/>
  <c r="G8" i="13"/>
  <c r="F8" i="13"/>
  <c r="I26" i="11"/>
  <c r="C32" i="25" l="1"/>
  <c r="D32" i="25" s="1"/>
  <c r="E32" i="25"/>
  <c r="A33" i="25"/>
  <c r="A20" i="25"/>
  <c r="A34" i="25" s="1"/>
  <c r="M8" i="13"/>
  <c r="E50" i="19"/>
  <c r="B42" i="11" s="1"/>
  <c r="E49" i="19"/>
  <c r="C34" i="25" l="1"/>
  <c r="D34" i="25" s="1"/>
  <c r="E34" i="25"/>
  <c r="C33" i="25"/>
  <c r="D33" i="25" s="1"/>
  <c r="E33" i="25"/>
  <c r="C23" i="13"/>
  <c r="E35" i="25" l="1"/>
  <c r="D37" i="25" s="1"/>
  <c r="D39" i="25" s="1"/>
  <c r="D35" i="25"/>
  <c r="B53" i="13" s="1"/>
  <c r="C14" i="28"/>
  <c r="C24" i="13"/>
  <c r="D23" i="13"/>
  <c r="I27" i="11" l="1"/>
  <c r="B2" i="12"/>
  <c r="D40" i="25"/>
  <c r="B12" i="13"/>
  <c r="E23" i="13"/>
  <c r="D24" i="13"/>
  <c r="B10" i="28" l="1"/>
  <c r="C10" i="28" s="1"/>
  <c r="B14" i="13"/>
  <c r="E24" i="13"/>
  <c r="F23" i="13"/>
  <c r="D49" i="13"/>
  <c r="H49" i="13"/>
  <c r="D12" i="28"/>
  <c r="B54" i="13" l="1"/>
  <c r="B13" i="28" s="1"/>
  <c r="I28" i="11"/>
  <c r="G23" i="13"/>
  <c r="F24" i="13"/>
  <c r="G24" i="13" s="1"/>
  <c r="I49" i="13"/>
  <c r="E49" i="13"/>
  <c r="H23" i="13" l="1"/>
  <c r="J49" i="13"/>
  <c r="F49" i="13"/>
  <c r="K49" i="13" l="1"/>
  <c r="I23" i="13"/>
  <c r="H24" i="13"/>
  <c r="L49" i="13"/>
  <c r="G49" i="13"/>
  <c r="I24" i="13" l="1"/>
  <c r="J23" i="13"/>
  <c r="J24" i="13" l="1"/>
  <c r="K23" i="13"/>
  <c r="K24" i="13" l="1"/>
  <c r="L23" i="13"/>
  <c r="L24" i="13" l="1"/>
  <c r="B8" i="12" s="1"/>
  <c r="L3" i="13" l="1"/>
  <c r="C15" i="13" l="1"/>
  <c r="C19" i="13" s="1"/>
  <c r="M3" i="13"/>
  <c r="D15" i="13" l="1"/>
  <c r="F17" i="28"/>
  <c r="J33" i="11"/>
  <c r="E15" i="13" l="1"/>
  <c r="C7" i="13"/>
  <c r="C2" i="13" s="1"/>
  <c r="D7" i="13"/>
  <c r="E7" i="13"/>
  <c r="F7" i="13"/>
  <c r="C12" i="13"/>
  <c r="F15" i="13" l="1"/>
  <c r="F19" i="13" s="1"/>
  <c r="F20" i="28" s="1"/>
  <c r="F2" i="13"/>
  <c r="E2" i="13"/>
  <c r="D2" i="13"/>
  <c r="B19" i="28"/>
  <c r="B18" i="28"/>
  <c r="B20" i="28"/>
  <c r="C53" i="13"/>
  <c r="B17" i="28"/>
  <c r="C14" i="13"/>
  <c r="C20" i="13" s="1"/>
  <c r="D17" i="28"/>
  <c r="E12" i="13"/>
  <c r="D19" i="28" s="1"/>
  <c r="F12" i="13"/>
  <c r="D20" i="28" s="1"/>
  <c r="D12" i="13"/>
  <c r="D18" i="28" s="1"/>
  <c r="C21" i="13"/>
  <c r="G15" i="13" l="1"/>
  <c r="G19" i="13" s="1"/>
  <c r="F21" i="28" s="1"/>
  <c r="G7" i="13"/>
  <c r="G12" i="13"/>
  <c r="D19" i="13"/>
  <c r="E19" i="13"/>
  <c r="F19" i="28" s="1"/>
  <c r="D53" i="13"/>
  <c r="E53" i="13" s="1"/>
  <c r="F53" i="13" s="1"/>
  <c r="C54" i="13"/>
  <c r="E17" i="28"/>
  <c r="C25" i="13"/>
  <c r="C17" i="28"/>
  <c r="D21" i="13"/>
  <c r="D14" i="13"/>
  <c r="D20" i="13" l="1"/>
  <c r="D25" i="13" s="1"/>
  <c r="G53" i="13"/>
  <c r="D21" i="28"/>
  <c r="D10" i="28"/>
  <c r="G2" i="13"/>
  <c r="B21" i="28"/>
  <c r="H15" i="13"/>
  <c r="F18" i="28"/>
  <c r="G17" i="28"/>
  <c r="E21" i="13"/>
  <c r="E14" i="13"/>
  <c r="E20" i="13" s="1"/>
  <c r="D54" i="13"/>
  <c r="E18" i="28"/>
  <c r="I15" i="13" l="1"/>
  <c r="G18" i="28"/>
  <c r="E19" i="28"/>
  <c r="G19" i="28" s="1"/>
  <c r="E54" i="13"/>
  <c r="E25" i="13"/>
  <c r="F14" i="13"/>
  <c r="F20" i="13" s="1"/>
  <c r="F21" i="13"/>
  <c r="J15" i="13" l="1"/>
  <c r="G21" i="13"/>
  <c r="G14" i="13"/>
  <c r="G20" i="13" s="1"/>
  <c r="F25" i="13"/>
  <c r="F54" i="13"/>
  <c r="E20" i="28"/>
  <c r="G20" i="28" s="1"/>
  <c r="L15" i="13" l="1"/>
  <c r="K15" i="13"/>
  <c r="E21" i="28"/>
  <c r="G21" i="28" s="1"/>
  <c r="G25" i="13"/>
  <c r="G54" i="13"/>
  <c r="C18" i="28" l="1"/>
  <c r="C19" i="28"/>
  <c r="C20" i="28"/>
  <c r="C21" i="28"/>
  <c r="B41" i="13" l="1"/>
  <c r="D37" i="28" s="1"/>
  <c r="M6" i="13" l="1"/>
  <c r="M7" i="13" s="1"/>
  <c r="B27" i="28" s="1"/>
  <c r="H7" i="13"/>
  <c r="H2" i="13" s="1"/>
  <c r="I7" i="13"/>
  <c r="J7" i="13"/>
  <c r="B24" i="28" s="1"/>
  <c r="K7" i="13"/>
  <c r="L7" i="13"/>
  <c r="B26" i="28" s="1"/>
  <c r="H12" i="13"/>
  <c r="H14" i="13" s="1"/>
  <c r="I12" i="13"/>
  <c r="D23" i="28" s="1"/>
  <c r="J12" i="13"/>
  <c r="D24" i="28" s="1"/>
  <c r="K12" i="13"/>
  <c r="L12" i="13"/>
  <c r="B5" i="12" s="1"/>
  <c r="M12" i="13"/>
  <c r="N12" i="13" s="1"/>
  <c r="H18" i="13"/>
  <c r="I18" i="13"/>
  <c r="J18" i="13"/>
  <c r="K18" i="13"/>
  <c r="L18" i="13"/>
  <c r="K2" i="13" l="1"/>
  <c r="M14" i="13"/>
  <c r="M19" i="13" s="1"/>
  <c r="F27" i="28" s="1"/>
  <c r="D26" i="28"/>
  <c r="C26" i="28" s="1"/>
  <c r="I19" i="13"/>
  <c r="F23" i="28" s="1"/>
  <c r="L19" i="13"/>
  <c r="F26" i="28" s="1"/>
  <c r="K19" i="13"/>
  <c r="F25" i="28" s="1"/>
  <c r="C24" i="28"/>
  <c r="J19" i="13"/>
  <c r="F24" i="28" s="1"/>
  <c r="B23" i="28"/>
  <c r="C23" i="28" s="1"/>
  <c r="J2" i="13"/>
  <c r="B25" i="28"/>
  <c r="L2" i="13"/>
  <c r="I2" i="13"/>
  <c r="B22" i="28"/>
  <c r="D22" i="28"/>
  <c r="E22" i="28"/>
  <c r="J34" i="11"/>
  <c r="H21" i="13"/>
  <c r="F10" i="28"/>
  <c r="D27" i="28"/>
  <c r="C27" i="28" s="1"/>
  <c r="D25" i="28"/>
  <c r="E27" i="28" l="1"/>
  <c r="H53" i="13"/>
  <c r="I53" i="13" s="1"/>
  <c r="J53" i="13" s="1"/>
  <c r="K53" i="13" s="1"/>
  <c r="L53" i="13" s="1"/>
  <c r="B3" i="12" s="1"/>
  <c r="B4" i="12" s="1"/>
  <c r="B6" i="12" s="1"/>
  <c r="D13" i="28" s="1"/>
  <c r="H19" i="13"/>
  <c r="C25" i="28"/>
  <c r="C22" i="28"/>
  <c r="M20" i="13"/>
  <c r="B27" i="13" s="1"/>
  <c r="B29" i="13" s="1"/>
  <c r="G27" i="28"/>
  <c r="I14" i="13"/>
  <c r="I21" i="13"/>
  <c r="F22" i="28" l="1"/>
  <c r="G22" i="28" s="1"/>
  <c r="N19" i="13"/>
  <c r="H54" i="13"/>
  <c r="H20" i="13"/>
  <c r="H25" i="13" s="1"/>
  <c r="J21" i="13"/>
  <c r="J14" i="13"/>
  <c r="I20" i="13"/>
  <c r="I25" i="13" s="1"/>
  <c r="E23" i="28"/>
  <c r="G23" i="28" s="1"/>
  <c r="I54" i="13"/>
  <c r="D29" i="28"/>
  <c r="B30" i="13"/>
  <c r="J20" i="13" l="1"/>
  <c r="J25" i="13" s="1"/>
  <c r="E24" i="28"/>
  <c r="G24" i="28" s="1"/>
  <c r="J54" i="13"/>
  <c r="K21" i="13"/>
  <c r="K14" i="13"/>
  <c r="D30" i="28"/>
  <c r="K54" i="13" l="1"/>
  <c r="K20" i="13"/>
  <c r="K25" i="13" s="1"/>
  <c r="E25" i="28"/>
  <c r="G25" i="28" s="1"/>
  <c r="L21" i="13"/>
  <c r="L14" i="13"/>
  <c r="L54" i="13" l="1"/>
  <c r="L20" i="13"/>
  <c r="L25" i="13" s="1"/>
  <c r="B31" i="13" s="1"/>
  <c r="E26" i="28"/>
  <c r="G26" i="28" s="1"/>
  <c r="M21" i="13"/>
  <c r="D31" i="28" l="1"/>
  <c r="B32" i="13"/>
  <c r="B7" i="12"/>
  <c r="J35" i="11"/>
  <c r="D32" i="28" l="1"/>
  <c r="B34" i="13"/>
  <c r="B35" i="13" s="1"/>
  <c r="B40" i="13" l="1"/>
  <c r="H41" i="11"/>
  <c r="D33" i="28"/>
  <c r="D36" i="28" s="1"/>
  <c r="B42" i="13" l="1"/>
  <c r="H42" i="11" l="1"/>
  <c r="B9" i="12" l="1"/>
  <c r="B10" i="12"/>
  <c r="H43" i="11"/>
  <c r="D2" i="14"/>
  <c r="C13" i="14"/>
  <c r="C15" i="14"/>
  <c r="B20" i="14"/>
  <c r="B21" i="14"/>
  <c r="B23" i="14"/>
  <c r="B24" i="14"/>
  <c r="C26" i="14"/>
  <c r="D27" i="14"/>
  <c r="D38" i="28"/>
  <c r="D39" i="28"/>
  <c r="B43" i="13"/>
  <c r="B44" i="13"/>
  <c r="B46"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Aswath Damodaran</author>
  </authors>
  <commentList>
    <comment ref="C4" authorId="0" shapeId="0" xr:uid="{00000000-0006-0000-0000-000001000000}">
      <text>
        <r>
          <rPr>
            <b/>
            <sz val="9"/>
            <color rgb="FF000000"/>
            <rFont val="Geneva"/>
            <family val="2"/>
          </rPr>
          <t>Aswath Damodaran:</t>
        </r>
        <r>
          <rPr>
            <sz val="9"/>
            <color rgb="FF000000"/>
            <rFont val="Geneva"/>
            <family val="2"/>
          </rPr>
          <t xml:space="preserve">
</t>
        </r>
        <r>
          <rPr>
            <sz val="9"/>
            <color rgb="FF000000"/>
            <rFont val="Geneva"/>
            <family val="2"/>
          </rPr>
          <t>If you are using trailing 12-month data, it is best if the last year is the 12-month period just prior to the one that you are using. Thus, if you are looking at June 2011-June 2012, your trailing 12 month for the income statement numbers will be June 2010-June 2011 and your balance sheet numbers should be as of June 2011.</t>
        </r>
      </text>
    </comment>
    <comment ref="B6" authorId="0" shapeId="0" xr:uid="{00000000-0006-0000-0000-000002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If you are in multiple businesses, you can construct your own weighted averages using the industry average table from this spreadsheet and your company's business breakdown.</t>
        </r>
      </text>
    </comment>
    <comment ref="D7" authorId="0" shapeId="0" xr:uid="{00000000-0006-0000-0000-000003000000}">
      <text>
        <r>
          <rPr>
            <b/>
            <sz val="10"/>
            <color indexed="81"/>
            <rFont val="Calibri"/>
            <family val="2"/>
          </rPr>
          <t>Aswath Damodaran:</t>
        </r>
        <r>
          <rPr>
            <sz val="10"/>
            <color indexed="81"/>
            <rFont val="Calibri"/>
            <family val="2"/>
          </rPr>
          <t xml:space="preserve">
If you have trailing 12 month numbers, the last year's numbers may be only 3 months, 6 months or 9 months ago.</t>
        </r>
      </text>
    </comment>
    <comment ref="B8" authorId="0" shapeId="0" xr:uid="{26607F5D-020D-6340-AB1D-E0AE2A3513C6}">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Enter the revenues from the most recent period (you can either use annual or the trailing 12 months). If your company had no revenues, enter a very small positive number. (You need a base for your growth rate)</t>
        </r>
      </text>
    </comment>
    <comment ref="C8" authorId="0" shapeId="0" xr:uid="{AF04F2D0-B052-9F4B-8F62-E422ACD6C65D}">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Enter the revenues from the most recent period (you can either use annual or the trailing 12 months). If your company had no revenues, enter a very small positive number. (You need a base for your growth rate)</t>
        </r>
      </text>
    </comment>
    <comment ref="B11" authorId="0" shapeId="0" xr:uid="{3124731F-0179-F242-B916-9DC24BD75F0B}">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Enter the operating income or EBIT from the most recent time period, even if that number is negative. If you have operating leases or R&amp;D and want to adjust for them, use the options below to start the process and enter the numbers in the relevan t worksheets.</t>
        </r>
      </text>
    </comment>
    <comment ref="C11" authorId="0" shapeId="0" xr:uid="{1C70A603-0838-5944-8149-F9A4E92DE99A}">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Enter the operating income or EBIT from the most recent time period, even if that number is negative. If you have operating leases or R&amp;D and want to adjust for them, use the options below to start the process and enter the numbers in the relevan t worksheets.</t>
        </r>
      </text>
    </comment>
    <comment ref="B13" authorId="0" shapeId="0" xr:uid="{C36A5A6E-3A8B-174E-8D31-61E25498C457}">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Enter the book value of equity (total) from the end of the most recent time period (i.e. the most recent balance sheet). This book equity will include everything - paid in capital, retained earnings etc. and may even be negative for companies that have been losing money for a while.</t>
        </r>
      </text>
    </comment>
    <comment ref="C13" authorId="0" shapeId="0" xr:uid="{59205439-221A-3746-8CCE-C4C6A11C5187}">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Enter the book value of equity (total) from the end of the most recent time period (i.e. the most recent balance sheet). This book equity will include everything - paid in capital, retained earnings etc. and may even be negative for companies that have been losing money for a while.</t>
        </r>
      </text>
    </comment>
    <comment ref="B14" authorId="0" shapeId="0" xr:uid="{EAC947FC-8EEA-BA43-AE6E-FEA319C78E31}">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 xml:space="preserve">Enter the book value of interest bearing debt (short and long term) at your company from the most recent balance sheet. (Do not include accounts payable, supplier credit or other non-interest bearing liabilities.) </t>
        </r>
      </text>
    </comment>
    <comment ref="C14" authorId="0" shapeId="0" xr:uid="{2670DA9D-7469-854C-A012-4097398AED77}">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 xml:space="preserve">Enter the book value of interest bearing debt (short and long term) at your company from the most recent balance sheet. (Do not include accounts payable, supplier credit or other non-interest bearing liabilities.) </t>
        </r>
      </text>
    </comment>
    <comment ref="B17" authorId="0" shapeId="0" xr:uid="{00000000-0006-0000-0000-00000C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Enter the cash balance from the most recent balance sheet. This should include marketable securities.</t>
        </r>
      </text>
    </comment>
    <comment ref="C17" authorId="0" shapeId="0" xr:uid="{31C4214A-D7F5-2142-9BE6-159F92DD66BA}">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Enter the cash balance from the most recent balance sheet. This should include marketable securities.</t>
        </r>
      </text>
    </comment>
    <comment ref="B19" authorId="0" shapeId="0" xr:uid="{00000000-0006-0000-0000-00000E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Enter the market value of those non-cash assets whose earnings are (and will never) show up as part of operating income. The most common non-operating assets are minority holdings in other companies (which are not consoldiated). You can find the book value of these holdings on the balance sheet, but see if you can convert to market value. (I apply a price to book ratio, based on the sector that the company is in to the book value).</t>
        </r>
      </text>
    </comment>
    <comment ref="B20" authorId="0" shapeId="0" xr:uid="{00000000-0006-0000-0000-00000F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Enter the "market" value of minority interests. This is a uniquely accounting item and will be on the liability side of your company's balance sheet. It reflects the requirement that if you own more than 50% of another company or have effective control of it, you have to consolidate that company's statements with yours. Thus, you count 100% of that subsidiaries assets, revenues and operating income with your company, even if you own only 60%. The minority interest reflects the book value of the 40% of the equity in the subsidiary that does not belong to you. Again, it is best if you can convert the book value to a market value by applying the price to book ratio for the sector in which the subsidiary operates</t>
        </r>
      </text>
    </comment>
    <comment ref="B21" authorId="0" shapeId="0" xr:uid="{03C189C6-B0F2-9C4C-862C-D018FF93609A}">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Enter the most recent update you have on the number of shares. If you have different classes of shares, aggregate them all and enter one number. Count restricted stock units (RSUs) as shares but don't count shares underlying employee options.</t>
        </r>
      </text>
    </comment>
    <comment ref="B22" authorId="0" shapeId="0" xr:uid="{36C8FE7A-5271-DE44-B3EE-B230CD68B567}">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 xml:space="preserve">Enter the most recent stock price (how about today's?) in here. </t>
        </r>
      </text>
    </comment>
    <comment ref="B23" authorId="0" shapeId="0" xr:uid="{C1FE7319-827E-1744-88C7-DAC43F6A133F}">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 xml:space="preserve">Enter your effective (not marginal) tax rate for your firm. You will find this in your company's annual report. If you cannot, you can compute it as follows, from the income statement:
</t>
        </r>
        <r>
          <rPr>
            <sz val="9"/>
            <color rgb="FF000000"/>
            <rFont val="Geneva"/>
            <family val="2"/>
            <charset val="1"/>
          </rPr>
          <t xml:space="preserve">Effective tax rate = Taxes paid/ Taxable income
</t>
        </r>
        <r>
          <rPr>
            <sz val="9"/>
            <color rgb="FF000000"/>
            <rFont val="Geneva"/>
            <family val="2"/>
            <charset val="1"/>
          </rPr>
          <t xml:space="preserve">If your effective tax rate varies across years, you can use an average. If the effective tax rate is less than zero, enter zero.
</t>
        </r>
        <r>
          <rPr>
            <sz val="9"/>
            <color rgb="FF000000"/>
            <rFont val="Geneva"/>
            <family val="2"/>
            <charset val="1"/>
          </rPr>
          <t>If you have a money losing company, don't enter zero but enter the tax rate that you will have when you start making money.</t>
        </r>
      </text>
    </comment>
    <comment ref="B24" authorId="0" shapeId="0" xr:uid="{D45CE851-CC84-2943-BD8B-A6D12D7C8783}">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This is a statutory tax rate. I use the tax rate of the country the company is domiciled in. See worksheet embedded in this spreadshseet for country tax rates.</t>
        </r>
      </text>
    </comment>
    <comment ref="B26" authorId="0" shapeId="0" xr:uid="{00000000-0006-0000-0000-000014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 xml:space="preserve">I don't have a crystal ball but you should look at 
</t>
        </r>
        <r>
          <rPr>
            <sz val="9"/>
            <color rgb="FF000000"/>
            <rFont val="Geneva"/>
            <family val="2"/>
            <charset val="1"/>
          </rPr>
          <t xml:space="preserve">a. Revenue growth in your company in recent years
</t>
        </r>
        <r>
          <rPr>
            <sz val="9"/>
            <color rgb="FF000000"/>
            <rFont val="Geneva"/>
            <family val="2"/>
            <charset val="1"/>
          </rPr>
          <t xml:space="preserve">b. Your company's revenues, relative to the overall market size and larger players in the sector. 
</t>
        </r>
        <r>
          <rPr>
            <sz val="9"/>
            <color rgb="FF000000"/>
            <rFont val="Geneva"/>
            <family val="2"/>
            <charset val="1"/>
          </rPr>
          <t xml:space="preserve">Suggestion: Check your revenues in year 10 against the overall market and see what market share are you giving your company. Check your company's revenues against other companies in the sector.
</t>
        </r>
        <r>
          <rPr>
            <sz val="9"/>
            <color rgb="FF000000"/>
            <rFont val="Geneva"/>
            <family val="2"/>
            <charset val="1"/>
          </rPr>
          <t>Note that this number can be negative for a declining firm.</t>
        </r>
      </text>
    </comment>
    <comment ref="B30" authorId="0" shapeId="0" xr:uid="{00000000-0006-0000-0000-000015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 xml:space="preserve">You should start by looking at your company's current pre-tax operating margin  but also look at the average for your industry. (You can check my estimates of industry averages in the last worksheet on this spreadsheet.) </t>
        </r>
      </text>
    </comment>
    <comment ref="J33" authorId="0" shapeId="0" xr:uid="{00000000-0006-0000-0000-00001A000000}">
      <text>
        <r>
          <rPr>
            <b/>
            <sz val="10"/>
            <color rgb="FF000000"/>
            <rFont val="Calibri"/>
            <family val="2"/>
          </rPr>
          <t>Aswath Damodaran:</t>
        </r>
        <r>
          <rPr>
            <sz val="10"/>
            <color rgb="FF000000"/>
            <rFont val="Calibri"/>
            <family val="2"/>
          </rPr>
          <t xml:space="preserve">
</t>
        </r>
        <r>
          <rPr>
            <sz val="10"/>
            <color rgb="FF000000"/>
            <rFont val="Calibri"/>
            <family val="2"/>
          </rPr>
          <t>Compare to your total market and check your market share.</t>
        </r>
      </text>
    </comment>
    <comment ref="B34" authorId="0" shapeId="0" xr:uid="{00000000-0006-0000-0000-000016000000}">
      <text>
        <r>
          <rPr>
            <b/>
            <sz val="10"/>
            <color rgb="FF000000"/>
            <rFont val="Calibri"/>
            <family val="2"/>
          </rPr>
          <t>Aswath Damodaran:</t>
        </r>
        <r>
          <rPr>
            <sz val="10"/>
            <color rgb="FF000000"/>
            <rFont val="Calibri"/>
            <family val="2"/>
          </rPr>
          <t xml:space="preserve">
</t>
        </r>
        <r>
          <rPr>
            <sz val="10"/>
            <color rgb="FF000000"/>
            <rFont val="Calibri"/>
            <family val="2"/>
          </rPr>
          <t>This is the forecast year in which your current margin will converge on target.</t>
        </r>
      </text>
    </comment>
    <comment ref="J34" authorId="0" shapeId="0" xr:uid="{00000000-0006-0000-0000-00001B000000}">
      <text>
        <r>
          <rPr>
            <b/>
            <sz val="10"/>
            <color indexed="81"/>
            <rFont val="Calibri"/>
            <family val="2"/>
          </rPr>
          <t>Aswath Damodaran:</t>
        </r>
        <r>
          <rPr>
            <sz val="10"/>
            <color indexed="81"/>
            <rFont val="Calibri"/>
            <family val="2"/>
          </rPr>
          <t xml:space="preserve">
Determined by your target margin. </t>
        </r>
      </text>
    </comment>
    <comment ref="J35" authorId="0" shapeId="0" xr:uid="{00000000-0006-0000-0000-00001D000000}">
      <text>
        <r>
          <rPr>
            <b/>
            <sz val="10"/>
            <color rgb="FF000000"/>
            <rFont val="Calibri"/>
            <family val="2"/>
          </rPr>
          <t>Aswath Damodaran:</t>
        </r>
        <r>
          <rPr>
            <sz val="10"/>
            <color rgb="FF000000"/>
            <rFont val="Calibri"/>
            <family val="2"/>
          </rPr>
          <t xml:space="preserve">
</t>
        </r>
        <r>
          <rPr>
            <sz val="10"/>
            <color rgb="FF000000"/>
            <rFont val="Calibri"/>
            <family val="2"/>
          </rPr>
          <t>Function of both your target margin and your sales to capital ratio.</t>
        </r>
      </text>
    </comment>
    <comment ref="B36" authorId="0" shapeId="0" xr:uid="{00000000-0006-0000-0000-000017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You are probably wondering what this is but it is how I compute how much you are going to reinvest to keep your business growing in future years. The higher you set this number, the more efficiently you are growing and the higher the value of your growth. Again, look at your company's current number (check on the right). Look at the industry averages as well in the worksheet.</t>
        </r>
      </text>
    </comment>
    <comment ref="C36" authorId="0" shapeId="0" xr:uid="{ED7A949F-1950-7044-92D8-81068D92D70E}">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You are probably wondering what this is but it is how I compute how much you are going to reinvest to keep your business growing in future years. The higher you set this number, the more efficiently you are growing and the higher the value of your growth. Again, look at your company's current number (check on the right). Look at the industry averages as well in the worksheet.</t>
        </r>
      </text>
    </comment>
    <comment ref="B41" authorId="0" shapeId="0" xr:uid="{00000000-0006-0000-0000-000018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This should be today's long term riskfree rate. If you are working with a currency where the government has default risk, clean up the government bond rate to make it riskfree (by subtracting the default spread for the government).</t>
        </r>
      </text>
    </comment>
    <comment ref="B42" authorId="0" shapeId="0" xr:uid="{00000000-0006-0000-0000-000019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 xml:space="preserve">Enter the current cost of capital for your firm. If you don't know what it is, you can use the built-in worksheet to compute it. </t>
        </r>
      </text>
    </comment>
    <comment ref="B45" authorId="0" shapeId="0" xr:uid="{B02A6A2A-35B3-2948-937C-177247A49F2D}">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Check your company's annual report or 10K. If it does have options outstanding, enter the total number here (vested and non vested, in the money and out…)</t>
        </r>
      </text>
    </comment>
    <comment ref="B46" authorId="0" shapeId="0" xr:uid="{CFD3F3B7-AD96-F64B-8BF9-9F847395F6C8}">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Enter the weighted average strike price of your options. (Should be in your 10K or annual report.)</t>
        </r>
      </text>
    </comment>
    <comment ref="B47" authorId="0" shapeId="0" xr:uid="{626B4DD6-F91A-AF4D-B9C3-E1C8F16F0526}">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The weighted average maturity of your options should be reported in your financial statements.</t>
        </r>
      </text>
    </comment>
    <comment ref="B48" authorId="0" shapeId="0" xr:uid="{2E3646DF-8C18-7748-8D5A-FAD4170A346F}">
      <text>
        <r>
          <rPr>
            <b/>
            <sz val="9"/>
            <color rgb="FF000000"/>
            <rFont val="Geneva"/>
            <family val="2"/>
          </rPr>
          <t>Aswath Damodaran:</t>
        </r>
        <r>
          <rPr>
            <sz val="9"/>
            <color rgb="FF000000"/>
            <rFont val="Geneva"/>
            <family val="2"/>
          </rPr>
          <t xml:space="preserve">
</t>
        </r>
        <r>
          <rPr>
            <sz val="9"/>
            <color rgb="FF000000"/>
            <rFont val="Geneva"/>
            <family val="2"/>
          </rPr>
          <t>If you have a standard deviation for your stock, enter that number. If not, use the industry average standard deviation from the worksheet.</t>
        </r>
      </text>
    </comment>
    <comment ref="B52" authorId="0" shapeId="0" xr:uid="{00000000-0006-0000-0000-000021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Mature companies tend to have costs of capital closer to the market average. While the riskfree rate + 4.5% is a close approximation of the average, you can use a slightly higher number (riskfree rate + 6%) for mature companies in riskier businesses and a slightly lower number (risfree rate + 4%) for safer companies.</t>
        </r>
      </text>
    </comment>
    <comment ref="B55" authorId="0" shapeId="0" xr:uid="{00000000-0006-0000-0000-000022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The default assumption is that competitive advantages will fade to zero over time. While this is a good assumption for many firms (about 7 in 10), there are some firms with sustainable competitive advantages (brand name, for instance), where the excess returns may continue beyond year 10. If your firm is one of those, you can enter a return on capital higher than your cost of capital in the cell below. Just don't get carried away. At the maximum, the excess return should not exceed 5% for a mature firm.</t>
        </r>
      </text>
    </comment>
    <comment ref="B56" authorId="0" shapeId="0" xr:uid="{00000000-0006-0000-0000-000023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 xml:space="preserve">Even if you believe your firm has significant competitive advantages, don't set this number to more than 5% more than your cost of capital. </t>
        </r>
      </text>
    </comment>
    <comment ref="B58" authorId="0" shapeId="0" xr:uid="{00000000-0006-0000-0000-000024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Companies at either end of the life cycle - young, growth and old, declining firms have a significant likelihood of failure. While we tend to ignore this in conventional DCF, it is worth thinking about whether you want to estimate a probability of failure. It is not easy to do but it can be done by looking at either history (with young, growth companies) or the debt market (with distressed companies).</t>
        </r>
      </text>
    </comment>
    <comment ref="B59" authorId="0" shapeId="0" xr:uid="{00000000-0006-0000-0000-000025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 xml:space="preserve">If you want to look at ways of estimating this probability, try these papers I have on the topic:
</t>
        </r>
        <r>
          <rPr>
            <sz val="9"/>
            <color rgb="FF000000"/>
            <rFont val="Geneva"/>
            <family val="2"/>
            <charset val="1"/>
          </rPr>
          <t xml:space="preserve">For young growth companies: http://papers.ssrn.com/sol3/papers.cfm?abstract_id=1418687  
</t>
        </r>
        <r>
          <rPr>
            <sz val="9"/>
            <color rgb="FF000000"/>
            <rFont val="Geneva"/>
            <family val="2"/>
            <charset val="1"/>
          </rPr>
          <t xml:space="preserve">For declining, distressed companies: http://papers.ssrn.com/sol3/papers.cfm?abstract_id=1428022 </t>
        </r>
      </text>
    </comment>
    <comment ref="B60" authorId="0" shapeId="0" xr:uid="{00000000-0006-0000-0000-000026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If the firm fail and has to liquidate its assets, you need to specify what the liquidation proceeds will be tied to. For young growth companies, I would tie it to value and with distressed firms (especially ones with significant assets in place), I would use book value.</t>
        </r>
      </text>
    </comment>
    <comment ref="B61" authorId="0" shapeId="0" xr:uid="{00000000-0006-0000-0000-000027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You will generally not get 100% of fair value. How much less than 100% you get will depend on whether there are lots of potential buyers for your assets and how much of a hurry you are in to liquidate. It may well be zero for a young growth company with no tangible assets.</t>
        </r>
      </text>
    </comment>
    <comment ref="B63" authorId="0" shapeId="0" xr:uid="{00000000-0006-0000-0000-000028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Companies generally pay less than the marginal tax rate on their income. Some of that is due to tax deferral and others to quirks in the tax law. Over time, the conservative assumption is to require the tax rate to move towards the marginal tax rate. However, if you believe that your firm's tax benefits are permanent, you can override this assumption.</t>
        </r>
      </text>
    </comment>
    <comment ref="B65" authorId="0" shapeId="0" xr:uid="{00000000-0006-0000-0000-000029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If your company has been losing money for a while, there will be accumulated losses from prior periods. Check your financial statements.</t>
        </r>
      </text>
    </comment>
    <comment ref="B66" authorId="0" shapeId="0" xr:uid="{00000000-0006-0000-0000-00002A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This is the NOL from prior years carried forward into this year.</t>
        </r>
      </text>
    </comment>
    <comment ref="B69" authorId="0" shapeId="0" xr:uid="{00000000-0006-0000-0000-00002B000000}">
      <text>
        <r>
          <rPr>
            <b/>
            <sz val="10"/>
            <color rgb="FF000000"/>
            <rFont val="Calibri"/>
            <family val="2"/>
          </rPr>
          <t xml:space="preserve">Aswath Damodaran:
</t>
        </r>
        <r>
          <rPr>
            <sz val="10"/>
            <color rgb="FF000000"/>
            <rFont val="Calibri"/>
            <family val="2"/>
          </rPr>
          <t xml:space="preserve">Be VERY, VERY careful. This is a growth rate in perpetuity, after year 10. Entering numbers significantly (more than 1%) higher than the risk free rate will render your valuation close to useless.
</t>
        </r>
      </text>
    </comment>
    <comment ref="B72" authorId="0" shapeId="0" xr:uid="{00000000-0006-0000-0000-00002C000000}">
      <text>
        <r>
          <rPr>
            <b/>
            <sz val="10"/>
            <color rgb="FF000000"/>
            <rFont val="Calibri"/>
            <family val="2"/>
          </rPr>
          <t>Aswath Damodaran:</t>
        </r>
        <r>
          <rPr>
            <sz val="10"/>
            <color rgb="FF000000"/>
            <rFont val="Calibri"/>
            <family val="2"/>
          </rPr>
          <t xml:space="preserve">
</t>
        </r>
        <r>
          <rPr>
            <sz val="10"/>
            <color rgb="FF000000"/>
            <rFont val="Calibri"/>
            <family val="2"/>
          </rPr>
          <t>If your concern is that a portion of the cash is trapped in foreign markets and will be subject to tax, when returned, enter the trapped cash balance. If you feel that the entire cash balance is being discounted because markets don't trust managers, enter the entire cash balance.</t>
        </r>
      </text>
    </comment>
    <comment ref="B73" authorId="0" shapeId="0" xr:uid="{00000000-0006-0000-0000-00002D000000}">
      <text>
        <r>
          <rPr>
            <b/>
            <sz val="10"/>
            <color indexed="81"/>
            <rFont val="Calibri"/>
            <family val="2"/>
          </rPr>
          <t>Aswath Damodaran:</t>
        </r>
        <r>
          <rPr>
            <sz val="10"/>
            <color indexed="81"/>
            <rFont val="Calibri"/>
            <family val="2"/>
          </rPr>
          <t xml:space="preserve">
This is the additional tax due, if the cash is trapped cash. If your concern is that all cash is being discounted by the market because of management mistrust, enter the percentage discount to apply to cash.</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Aswath Damodaran</author>
  </authors>
  <commentList>
    <comment ref="B11" authorId="0" shapeId="0" xr:uid="{00000000-0006-0000-0800-000001000000}">
      <text>
        <r>
          <rPr>
            <b/>
            <sz val="9"/>
            <color rgb="FF000000"/>
            <rFont val="Geneva"/>
            <family val="2"/>
          </rPr>
          <t>Aswath Damodaran:</t>
        </r>
        <r>
          <rPr>
            <sz val="9"/>
            <color rgb="FF000000"/>
            <rFont val="Geneva"/>
            <family val="2"/>
          </rPr>
          <t xml:space="preserve">
</t>
        </r>
        <r>
          <rPr>
            <sz val="9"/>
            <color rgb="FF000000"/>
            <rFont val="Geneva"/>
            <family val="2"/>
          </rPr>
          <t>Use a sector average beta, if need be.</t>
        </r>
      </text>
    </comment>
    <comment ref="B13" authorId="0" shapeId="0" xr:uid="{00000000-0006-0000-0800-000002000000}">
      <text>
        <r>
          <rPr>
            <b/>
            <sz val="9"/>
            <color rgb="FF000000"/>
            <rFont val="Geneva"/>
            <family val="2"/>
          </rPr>
          <t>Aswath Damodaran:</t>
        </r>
        <r>
          <rPr>
            <sz val="9"/>
            <color rgb="FF000000"/>
            <rFont val="Geneva"/>
            <family val="2"/>
          </rPr>
          <t xml:space="preserve">
</t>
        </r>
        <r>
          <rPr>
            <sz val="9"/>
            <color rgb="FF000000"/>
            <rFont val="Geneva"/>
            <family val="2"/>
          </rPr>
          <t>If you pick operating regions or countries, please input the revenues by country or region in the table to the right.</t>
        </r>
      </text>
    </comment>
    <comment ref="B15" authorId="0" shapeId="0" xr:uid="{00000000-0006-0000-0800-000003000000}">
      <text>
        <r>
          <rPr>
            <b/>
            <sz val="9"/>
            <color rgb="FF000000"/>
            <rFont val="Geneva"/>
            <family val="2"/>
          </rPr>
          <t>Aswath Damodaran:</t>
        </r>
        <r>
          <rPr>
            <sz val="9"/>
            <color rgb="FF000000"/>
            <rFont val="Geneva"/>
            <family val="2"/>
          </rPr>
          <t xml:space="preserve">
</t>
        </r>
        <r>
          <rPr>
            <sz val="9"/>
            <color rgb="FF000000"/>
            <rFont val="Geneva"/>
            <family val="2"/>
          </rPr>
          <t>If your company has risk exposure in emergiing markets, incorporate that risk premiums here. See worksheet on country risk premiums.</t>
        </r>
      </text>
    </comment>
    <comment ref="B19" authorId="0" shapeId="0" xr:uid="{00000000-0006-0000-0800-000004000000}">
      <text>
        <r>
          <rPr>
            <b/>
            <sz val="9"/>
            <color rgb="FF000000"/>
            <rFont val="Geneva"/>
            <family val="2"/>
          </rPr>
          <t>Aswath Damodaran:</t>
        </r>
        <r>
          <rPr>
            <sz val="9"/>
            <color rgb="FF000000"/>
            <rFont val="Geneva"/>
            <family val="2"/>
          </rPr>
          <t xml:space="preserve">
</t>
        </r>
        <r>
          <rPr>
            <sz val="9"/>
            <color rgb="FF000000"/>
            <rFont val="Geneva"/>
            <family val="2"/>
          </rPr>
          <t>Interest expense (gross) from most recent financial statement.</t>
        </r>
      </text>
    </comment>
    <comment ref="B20" authorId="0" shapeId="0" xr:uid="{00000000-0006-0000-0800-000005000000}">
      <text>
        <r>
          <rPr>
            <b/>
            <sz val="9"/>
            <color indexed="81"/>
            <rFont val="Geneva"/>
            <family val="2"/>
          </rPr>
          <t>Aswath Damodaran:</t>
        </r>
        <r>
          <rPr>
            <sz val="9"/>
            <color indexed="81"/>
            <rFont val="Geneva"/>
            <family val="2"/>
          </rPr>
          <t xml:space="preserve">
Generally found in footnotes to financial statements.</t>
        </r>
      </text>
    </comment>
    <comment ref="B24" authorId="0" shapeId="0" xr:uid="{00000000-0006-0000-0800-000006000000}">
      <text>
        <r>
          <rPr>
            <b/>
            <sz val="9"/>
            <color rgb="FF000000"/>
            <rFont val="Geneva"/>
            <family val="2"/>
          </rPr>
          <t>Aswath Damodaran:</t>
        </r>
        <r>
          <rPr>
            <sz val="9"/>
            <color rgb="FF000000"/>
            <rFont val="Geneva"/>
            <family val="2"/>
          </rPr>
          <t xml:space="preserve">
</t>
        </r>
        <r>
          <rPr>
            <sz val="9"/>
            <color rgb="FF000000"/>
            <rFont val="Geneva"/>
            <family val="2"/>
          </rPr>
          <t xml:space="preserve">1: Large market cap (&gt;$5 billion) and safe.
</t>
        </r>
        <r>
          <rPr>
            <sz val="9"/>
            <color rgb="FF000000"/>
            <rFont val="Geneva"/>
            <family val="2"/>
          </rPr>
          <t xml:space="preserve">2: Small market cap (&lt;$5 billion) or risky.
</t>
        </r>
        <r>
          <rPr>
            <sz val="9"/>
            <color rgb="FF000000"/>
            <rFont val="Geneva"/>
            <family val="2"/>
          </rPr>
          <t>If company has volatile earnings or is in risky business, use 2, even if large market cap.</t>
        </r>
      </text>
    </comment>
    <comment ref="B25" authorId="0" shapeId="0" xr:uid="{00000000-0006-0000-0800-000007000000}">
      <text>
        <r>
          <rPr>
            <b/>
            <sz val="9"/>
            <color rgb="FF000000"/>
            <rFont val="Geneva"/>
            <family val="2"/>
          </rPr>
          <t>Aswath Damodaran:</t>
        </r>
        <r>
          <rPr>
            <sz val="9"/>
            <color rgb="FF000000"/>
            <rFont val="Geneva"/>
            <family val="2"/>
          </rPr>
          <t xml:space="preserve">
</t>
        </r>
        <r>
          <rPr>
            <sz val="9"/>
            <color rgb="FF000000"/>
            <rFont val="Geneva"/>
            <family val="2"/>
          </rPr>
          <t>Current, long term cost of borrowing money. If you have a rating use it, if not use a synthetic rating. See the worksheet attached.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Aswath Damodaran</author>
  </authors>
  <commentList>
    <comment ref="D40" authorId="0" shapeId="0" xr:uid="{00000000-0006-0000-0600-000001000000}">
      <text>
        <r>
          <rPr>
            <b/>
            <sz val="9"/>
            <color indexed="81"/>
            <rFont val="Geneva"/>
            <family val="2"/>
          </rPr>
          <t>Aswath Damodaran:</t>
        </r>
        <r>
          <rPr>
            <sz val="9"/>
            <color indexed="81"/>
            <rFont val="Geneva"/>
            <family val="2"/>
          </rPr>
          <t xml:space="preserve">
By expensing R&amp;D rather than capitalizing it, the firm gets a tax benefit. This is the dollar value of that tax benefit.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Aswath Damodaran</author>
  </authors>
  <commentList>
    <comment ref="F5" authorId="0" shapeId="0" xr:uid="{00000000-0006-0000-0B00-000001000000}">
      <text>
        <r>
          <rPr>
            <b/>
            <sz val="9"/>
            <color indexed="81"/>
            <rFont val="Geneva"/>
            <family val="2"/>
          </rPr>
          <t>Aswath Damodaran:</t>
        </r>
        <r>
          <rPr>
            <sz val="9"/>
            <color indexed="81"/>
            <rFont val="Geneva"/>
            <family val="2"/>
          </rPr>
          <t xml:space="preserve">
If your most recent year's operating income is unusually low or high, you can use the average operating income from the last few years. </t>
        </r>
      </text>
    </comment>
    <comment ref="F6" authorId="0" shapeId="0" xr:uid="{00000000-0006-0000-0B00-000002000000}">
      <text>
        <r>
          <rPr>
            <b/>
            <sz val="9"/>
            <color indexed="81"/>
            <rFont val="Geneva"/>
            <family val="2"/>
          </rPr>
          <t>Aswath Damodaran:</t>
        </r>
        <r>
          <rPr>
            <sz val="9"/>
            <color indexed="81"/>
            <rFont val="Geneva"/>
            <family val="2"/>
          </rPr>
          <t xml:space="preserve">
Enter the interest expense from the most recent income statement.</t>
        </r>
      </text>
    </comment>
    <comment ref="F7" authorId="0" shapeId="0" xr:uid="{00000000-0006-0000-0B00-000003000000}">
      <text>
        <r>
          <rPr>
            <b/>
            <sz val="9"/>
            <color indexed="81"/>
            <rFont val="Geneva"/>
            <family val="2"/>
          </rPr>
          <t>Aswath Damodaran:</t>
        </r>
        <r>
          <rPr>
            <sz val="9"/>
            <color indexed="81"/>
            <rFont val="Geneva"/>
            <family val="2"/>
          </rPr>
          <t xml:space="preserve">
I use a 10 year government bond rate.</t>
        </r>
      </text>
    </comment>
  </commentList>
</comments>
</file>

<file path=xl/sharedStrings.xml><?xml version="1.0" encoding="utf-8"?>
<sst xmlns="http://schemas.openxmlformats.org/spreadsheetml/2006/main" count="1307" uniqueCount="815">
  <si>
    <t>If calculated value is negative or looks too low</t>
    <phoneticPr fontId="6" type="noConversion"/>
  </si>
  <si>
    <t>If calculated value looks too high</t>
    <phoneticPr fontId="6" type="noConversion"/>
  </si>
  <si>
    <t>Increase revenue growth rate</t>
    <phoneticPr fontId="6" type="noConversion"/>
  </si>
  <si>
    <t>Decrease revenue growth rate</t>
    <phoneticPr fontId="6" type="noConversion"/>
  </si>
  <si>
    <t>Marginal ROIC over 10 years</t>
    <phoneticPr fontId="6" type="noConversion"/>
  </si>
  <si>
    <t>ROIC at end of valuation</t>
    <phoneticPr fontId="6" type="noConversion"/>
  </si>
  <si>
    <t>Inputs</t>
  </si>
  <si>
    <t>Invested capital at start of valuation</t>
    <phoneticPr fontId="6" type="noConversion"/>
  </si>
  <si>
    <t>Invested capital at end of valuation</t>
    <phoneticPr fontId="6" type="noConversion"/>
  </si>
  <si>
    <t>Change in invested capital over 10 years</t>
    <phoneticPr fontId="6" type="noConversion"/>
  </si>
  <si>
    <t>Change in EBIT*(1–t) (after-tax operating income) over 10 years</t>
    <phoneticPr fontId="6" type="noConversion"/>
  </si>
  <si>
    <t>Revenues</t>
  </si>
  <si>
    <t>EBIT(1-t)</t>
  </si>
  <si>
    <t>Number of shares</t>
    <phoneticPr fontId="5" type="noConversion"/>
  </si>
  <si>
    <t>Base year</t>
    <phoneticPr fontId="5" type="noConversion"/>
  </si>
  <si>
    <t>FCFF</t>
  </si>
  <si>
    <t>Implied variables</t>
    <phoneticPr fontId="5" type="noConversion"/>
  </si>
  <si>
    <t>Invested capital</t>
    <phoneticPr fontId="5" type="noConversion"/>
  </si>
  <si>
    <t>ROIC</t>
    <phoneticPr fontId="5" type="noConversion"/>
  </si>
  <si>
    <t>PV(FCFF)</t>
    <phoneticPr fontId="5" type="noConversion"/>
  </si>
  <si>
    <t>Terminal cash flow</t>
    <phoneticPr fontId="5" type="noConversion"/>
  </si>
  <si>
    <t>Terminal value</t>
    <phoneticPr fontId="5" type="noConversion"/>
  </si>
  <si>
    <t>PV(Terminal value)</t>
    <phoneticPr fontId="5" type="noConversion"/>
  </si>
  <si>
    <t>EBIT (Operating income)</t>
    <phoneticPr fontId="5" type="noConversion"/>
  </si>
  <si>
    <t>Riskfree rate</t>
    <phoneticPr fontId="6" type="noConversion"/>
  </si>
  <si>
    <t>Your calculated value as a percent of current price</t>
    <phoneticPr fontId="6" type="noConversion"/>
  </si>
  <si>
    <t>Operating income or EBIT</t>
  </si>
  <si>
    <t>Book value of equity</t>
  </si>
  <si>
    <t>Book value of debt</t>
  </si>
  <si>
    <t>Number of shares outstanding =</t>
  </si>
  <si>
    <t>Current stock price =</t>
  </si>
  <si>
    <t>Company name</t>
  </si>
  <si>
    <t>The value drivers below:</t>
  </si>
  <si>
    <t xml:space="preserve">Market numbers </t>
  </si>
  <si>
    <t>Initial cost of capital =</t>
  </si>
  <si>
    <t>Do you want to override this assumption =</t>
  </si>
  <si>
    <t>If yes, enter the return on capital you expect after year 10</t>
  </si>
  <si>
    <t>If yes, enter the cost of capital after year 10 =</t>
  </si>
  <si>
    <t>After year 10</t>
  </si>
  <si>
    <t>Value of operating assets =</t>
  </si>
  <si>
    <t>Terminal year</t>
  </si>
  <si>
    <t>PV (CF over next 10 years)</t>
  </si>
  <si>
    <t>Sum of PV</t>
  </si>
  <si>
    <t>NOL</t>
  </si>
  <si>
    <t>If yes, enter the NOL that you are carrying over into year 1</t>
  </si>
  <si>
    <t>Price as % of value</t>
  </si>
  <si>
    <t>No</t>
  </si>
  <si>
    <t>Value of equity</t>
  </si>
  <si>
    <t>Mature companies find it difficult to generate returns that exceed the cost of capital</t>
  </si>
  <si>
    <t>Mature companies generally see their risk levels approach the average</t>
  </si>
  <si>
    <t>Tough to estimate but a key input.</t>
  </si>
  <si>
    <t>Check the financial statements.</t>
  </si>
  <si>
    <t>Yes</t>
  </si>
  <si>
    <t xml:space="preserve"> - Value of options</t>
  </si>
  <si>
    <t>Value of equity in common stock</t>
  </si>
  <si>
    <t>Valuing Options or Warrants</t>
  </si>
  <si>
    <t>Enter the current stock price =</t>
  </si>
  <si>
    <t>Enter the strike price on the option =</t>
  </si>
  <si>
    <t>Enter the expiration of the option =</t>
  </si>
  <si>
    <t>Enter the standard deviation in stock prices =</t>
  </si>
  <si>
    <t>(volatility)</t>
  </si>
  <si>
    <t>Enter the annualized dividend yield on stock =</t>
  </si>
  <si>
    <t>Enter the treasury bond rate =</t>
  </si>
  <si>
    <t>Enter the number of warrants (options) outstanding =</t>
  </si>
  <si>
    <t>Enter the number of shares outstanding =</t>
  </si>
  <si>
    <t>Do not input any numbers below this line</t>
  </si>
  <si>
    <t>VALUING WARRANTS WHEN THERE IS DILUTION</t>
  </si>
  <si>
    <t>Stock Price=</t>
  </si>
  <si>
    <t># Warrants issued=</t>
  </si>
  <si>
    <t>Strike Price=</t>
  </si>
  <si>
    <t># Shares outstanding=</t>
  </si>
  <si>
    <t>Adjusted S =</t>
  </si>
  <si>
    <t>T.Bond rate=</t>
  </si>
  <si>
    <t>Adjusted K =</t>
  </si>
  <si>
    <t>Variance=</t>
  </si>
  <si>
    <t>Expiration (in years) =</t>
  </si>
  <si>
    <t>Annualized dividend yield=</t>
  </si>
  <si>
    <t>Div. Adj. interest rate=</t>
  </si>
  <si>
    <t xml:space="preserve">d1 = </t>
  </si>
  <si>
    <t>N (d1) =</t>
  </si>
  <si>
    <t xml:space="preserve">d2 = </t>
  </si>
  <si>
    <t>N (d2) =</t>
  </si>
  <si>
    <t xml:space="preserve">Value per option = </t>
  </si>
  <si>
    <t>Value of all options outstanding =</t>
  </si>
  <si>
    <t>Other inputs</t>
  </si>
  <si>
    <t>Number of options outstanding =</t>
  </si>
  <si>
    <t>Average strike price =</t>
  </si>
  <si>
    <t>Average maturity =</t>
  </si>
  <si>
    <t>Standard deviation on stock price =</t>
  </si>
  <si>
    <t>Estimated value /share</t>
  </si>
  <si>
    <t>VALUATION DIAGNOSTICS</t>
  </si>
  <si>
    <t>Industry Name</t>
  </si>
  <si>
    <t>Advertising</t>
  </si>
  <si>
    <t>NA</t>
  </si>
  <si>
    <t>Sales/Capital</t>
  </si>
  <si>
    <t>There should be a check against the iteration box. If there is not, you will get circular reasoning errors.</t>
  </si>
  <si>
    <t>Price</t>
  </si>
  <si>
    <t>B</t>
  </si>
  <si>
    <t>B: Book value of capital, V= Estimated fair value for the company</t>
  </si>
  <si>
    <t>Effective tax rate =</t>
  </si>
  <si>
    <t>Marginal tax rate =</t>
  </si>
  <si>
    <t xml:space="preserve">Default assumptions. </t>
  </si>
  <si>
    <t>In stable growth, I will assume that your firm will have a cost of capital similar to that of typical mature companies (riskfree rate + 4.5%)</t>
  </si>
  <si>
    <t>I will assume that your firm will earn a return on capital equal to its cost of capital after year 10. I am assuming that whatever competitive advantages you have today will fade over time.</t>
  </si>
  <si>
    <t>If yes, enter the probability of failure =</t>
  </si>
  <si>
    <t>Probability of failure =</t>
  </si>
  <si>
    <t>Proceeds if firm fails =</t>
  </si>
  <si>
    <t>What do you want to tie your proceeds in failure to?</t>
  </si>
  <si>
    <t>This can be zero, if the assets will be worth nothing if the firm fails.</t>
  </si>
  <si>
    <t>Many young, growth companies fail, especially if they have trouble raising cash. Many distressed companies fail, because they have trouble making debt payments.</t>
  </si>
  <si>
    <t>Operating Lease Converter</t>
  </si>
  <si>
    <t>Operating lease expense in current year =</t>
  </si>
  <si>
    <t>Operating Lease Commitments (From footnote to financials)</t>
  </si>
  <si>
    <t>Year</t>
  </si>
  <si>
    <t>Commitment</t>
  </si>
  <si>
    <t>! Year 1 is next year, ….</t>
  </si>
  <si>
    <t>6 and beyond</t>
  </si>
  <si>
    <t>Output</t>
  </si>
  <si>
    <t>Pre-tax Cost of Debt =</t>
  </si>
  <si>
    <t>Number of years embedded in yr 6 estimate =</t>
  </si>
  <si>
    <t>! I use the average lease expense over the first five years</t>
  </si>
  <si>
    <t>to estimate the number of years of expenses in yr 6</t>
  </si>
  <si>
    <t>Converting Operating Leases into debt</t>
  </si>
  <si>
    <t>Present Value</t>
  </si>
  <si>
    <t>! Commitment beyond year 6 converted into an annuity for ten years</t>
  </si>
  <si>
    <t>Debt Value of leases =</t>
  </si>
  <si>
    <t>Restated Financials</t>
  </si>
  <si>
    <t>Depreciation on Operating Lease Asset =</t>
  </si>
  <si>
    <t>! I use straight line depreciation</t>
  </si>
  <si>
    <t>Adjustment to Operating Earnings =</t>
  </si>
  <si>
    <t>Adjustment to Total Debt outstanding =</t>
  </si>
  <si>
    <t>! Add this amount to pre-tax operating income</t>
  </si>
  <si>
    <t>! Add this amount to debt</t>
  </si>
  <si>
    <t>I will assume that you have no losses carried forward from prior years ( NOL) coming into the valuation. If you have a money losing company, you may want to override tis.</t>
  </si>
  <si>
    <t>I will assume that your firm has no chance of failure over the foreseeable future.</t>
  </si>
  <si>
    <t>Tax rate</t>
  </si>
  <si>
    <t>I will assume that your effective tax rate will adjust to your marginal tax rate by your terminal year. If you override this assumption, I will leave the tax rate at your effective tax rate.</t>
  </si>
  <si>
    <t>Terminal cost of capital</t>
  </si>
  <si>
    <t>Though some sectors, even in stable growth, may have higher risk.</t>
  </si>
  <si>
    <t>But there are significant exceptions among companies with long-lasting competitive advantages.</t>
  </si>
  <si>
    <t>An NOL will shield your income from taxes, even after you start making money.</t>
  </si>
  <si>
    <t>Cost of capital</t>
  </si>
  <si>
    <t>Cumulated discount factor</t>
  </si>
  <si>
    <t>Decrease the sales/capital ratio</t>
  </si>
  <si>
    <t>Increase the sales/capital ratio</t>
  </si>
  <si>
    <t>Increase the target pre-tax operating margin</t>
  </si>
  <si>
    <t>Decrease the target pre-tax operating margin</t>
  </si>
  <si>
    <t>Revenue growth rate (input cell B3)</t>
  </si>
  <si>
    <t>Last period EBIT as % of revenue (Input cell B14)</t>
  </si>
  <si>
    <t>Sales to Capital Ratio or reinvestment (Input cell B15)</t>
  </si>
  <si>
    <t>Increase relative to your cost of capital</t>
  </si>
  <si>
    <t>If higher than your cost of capital, lower towards your cost of capital</t>
  </si>
  <si>
    <t xml:space="preserve"> </t>
  </si>
  <si>
    <t>T</t>
  </si>
  <si>
    <t>Return on capital in perpetuity (B30 &amp; B31)</t>
  </si>
  <si>
    <t>The yellow cells are input cells. Please enter them.</t>
  </si>
  <si>
    <t>Annual Average Revenue growth - Last 5 years</t>
  </si>
  <si>
    <t>Average effective tax rate</t>
  </si>
  <si>
    <t>Equity (Levered) Beta</t>
  </si>
  <si>
    <t>Cost of equity</t>
  </si>
  <si>
    <t>Std deviation in stock prices</t>
  </si>
  <si>
    <t>Pre-tax cost of debt</t>
  </si>
  <si>
    <t>Market Debt/Capital</t>
  </si>
  <si>
    <t>EV/Sales</t>
  </si>
  <si>
    <t>EV/EBITDA</t>
  </si>
  <si>
    <t>EV/EBIT</t>
  </si>
  <si>
    <t>Price/Book</t>
  </si>
  <si>
    <t>Trailing PE</t>
  </si>
  <si>
    <t>Number of firms</t>
  </si>
  <si>
    <t>Revenue growth in the most recent year =</t>
  </si>
  <si>
    <t>Pre-tax operating margin in the most recent year =</t>
  </si>
  <si>
    <t>Sales to capital ratio in most recent year =</t>
  </si>
  <si>
    <t>Return on invested capital in most recent year=</t>
  </si>
  <si>
    <t>This year</t>
  </si>
  <si>
    <t>Last year</t>
  </si>
  <si>
    <t>After-tax ROC</t>
  </si>
  <si>
    <t>Estimation of Current Cost of Capital</t>
  </si>
  <si>
    <t>Equity</t>
  </si>
  <si>
    <t>Number of Shares outstanding =</t>
  </si>
  <si>
    <t>Current Market Price per share =</t>
  </si>
  <si>
    <t>Riskfree Rate =</t>
  </si>
  <si>
    <t>Debt</t>
  </si>
  <si>
    <t>Book Value of Straight Debt =</t>
  </si>
  <si>
    <t>Interest Expense on Debt =</t>
  </si>
  <si>
    <t>Average Maturity =</t>
  </si>
  <si>
    <t>Tax Rate =</t>
  </si>
  <si>
    <t>Book Value of Convertible Debt =</t>
  </si>
  <si>
    <t>Interest Expense on Convertible =</t>
  </si>
  <si>
    <t>Maturity of Convertible Bond =</t>
  </si>
  <si>
    <t>Market Value of Convertible =</t>
  </si>
  <si>
    <t>Debt value of operating leases =</t>
  </si>
  <si>
    <t>Preferred Stock</t>
  </si>
  <si>
    <t>Number of Preferred Shares =</t>
  </si>
  <si>
    <t>Current Market Price per Share=</t>
  </si>
  <si>
    <t>Annual Dividend per Share =</t>
  </si>
  <si>
    <t>Estimating Market Value of Straight Debt =</t>
  </si>
  <si>
    <t>Estimated Value of Straight Debt in Convertible =</t>
  </si>
  <si>
    <t>Value of Debt in Operating leases =</t>
  </si>
  <si>
    <t>Estimated Value of Equity in Convertible =</t>
  </si>
  <si>
    <t xml:space="preserve">Debt </t>
  </si>
  <si>
    <t>Capital</t>
  </si>
  <si>
    <t>Market Value</t>
  </si>
  <si>
    <t>Weight in Cost of Capital</t>
  </si>
  <si>
    <t>Cost of Component</t>
  </si>
  <si>
    <t>Unlevered beta =</t>
  </si>
  <si>
    <t>Unlevered Beta</t>
  </si>
  <si>
    <t>Levered Beta for equity =</t>
  </si>
  <si>
    <t>Inputs for synthetic rating estimation</t>
  </si>
  <si>
    <t>Please read the special cases worksheet (see below) before you use this spreadsheet.</t>
  </si>
  <si>
    <t>Before you use this spreadsheet, make sure that the iteration box (under calculation options in excel) is checked.</t>
  </si>
  <si>
    <t>Enter the type of firm =</t>
  </si>
  <si>
    <t>Enter current Earnings before interest and taxes (EBIT) =</t>
  </si>
  <si>
    <t>(Add back only long term interest expense for financial firms)</t>
  </si>
  <si>
    <t>Enter current interest expenses =</t>
  </si>
  <si>
    <t>(Use only long term interest expense for financial firms)</t>
  </si>
  <si>
    <t>Interest  coverage ratio =</t>
  </si>
  <si>
    <t>Estimated Bond Rating =</t>
  </si>
  <si>
    <t>Note: If you get REF! All over the place, set the operating lease commitment question in cell F5</t>
  </si>
  <si>
    <t>to No, and then reset it to Yes. It should work.</t>
  </si>
  <si>
    <t>Estimated Cost of Debt =</t>
  </si>
  <si>
    <t xml:space="preserve"> If you want to update the spreads listed below, please visit http://www.bondsonline.com</t>
    <phoneticPr fontId="9"/>
  </si>
  <si>
    <t>For large manufacturing firms</t>
  </si>
  <si>
    <t>If interest coverage ratio is</t>
  </si>
  <si>
    <t>&gt;</t>
  </si>
  <si>
    <t>≤ to</t>
  </si>
  <si>
    <t>Rating is</t>
  </si>
  <si>
    <t>Spread is</t>
  </si>
  <si>
    <t>greater than</t>
  </si>
  <si>
    <t>For smaller and riskier firms</t>
  </si>
  <si>
    <t>Enter long term risk free rate  =</t>
  </si>
  <si>
    <t>! If you do not have a cost of debt, use the synthetic rating estimator</t>
  </si>
  <si>
    <t>V</t>
  </si>
  <si>
    <t>Enter the distress proceeds as percentage of book or fair value</t>
  </si>
  <si>
    <t>Average WACC over the 10 years (compounded)</t>
  </si>
  <si>
    <t>Company</t>
  </si>
  <si>
    <t>Yes/No</t>
  </si>
  <si>
    <t>Industry (US data)</t>
  </si>
  <si>
    <t>Book or Market Value</t>
  </si>
  <si>
    <t>Computed numbers: Here is what your company's numbers look like, relative to industry.</t>
  </si>
  <si>
    <t>Do you have operating lease commitments?</t>
  </si>
  <si>
    <t>Cash and cross holdings</t>
  </si>
  <si>
    <t>Do you have employee options outstanding?</t>
  </si>
  <si>
    <t>If you have operating leases, please enter your lease commitments in the lease worksheet below and I will convert to debt</t>
  </si>
  <si>
    <t>Albania</t>
  </si>
  <si>
    <t>Angola</t>
  </si>
  <si>
    <t>Argentina</t>
  </si>
  <si>
    <t>Armenia</t>
  </si>
  <si>
    <t>Aruba</t>
  </si>
  <si>
    <t>Australia</t>
  </si>
  <si>
    <t>Austria</t>
  </si>
  <si>
    <t>Bahamas</t>
  </si>
  <si>
    <t>Bahrain</t>
  </si>
  <si>
    <t>Bangladesh</t>
  </si>
  <si>
    <t>Barbados</t>
  </si>
  <si>
    <t>Belarus</t>
  </si>
  <si>
    <t>Belgium</t>
  </si>
  <si>
    <t>Bermuda</t>
  </si>
  <si>
    <t>Bolivia</t>
  </si>
  <si>
    <t>Bosnia and Herzegovina</t>
  </si>
  <si>
    <t>Botswana</t>
  </si>
  <si>
    <t>Brazil</t>
  </si>
  <si>
    <t>Bulgaria</t>
  </si>
  <si>
    <t>Cambodia</t>
  </si>
  <si>
    <t>Canada</t>
  </si>
  <si>
    <t>Cayman Islands</t>
  </si>
  <si>
    <t>Chile</t>
  </si>
  <si>
    <t>China</t>
  </si>
  <si>
    <t>Colombia</t>
  </si>
  <si>
    <t>Costa Rica</t>
  </si>
  <si>
    <t>Croatia</t>
  </si>
  <si>
    <t>Cyprus</t>
  </si>
  <si>
    <t>Czech Republic</t>
  </si>
  <si>
    <t>Denmark</t>
  </si>
  <si>
    <t>Dominican Republic</t>
  </si>
  <si>
    <t>Ecuador</t>
  </si>
  <si>
    <t>Egypt</t>
  </si>
  <si>
    <t>Estonia</t>
  </si>
  <si>
    <t>Fiji</t>
  </si>
  <si>
    <t>Finland</t>
  </si>
  <si>
    <t>France</t>
  </si>
  <si>
    <t>Germany</t>
  </si>
  <si>
    <t>Greece</t>
  </si>
  <si>
    <t>Guatemala</t>
  </si>
  <si>
    <t>Honduras</t>
  </si>
  <si>
    <t>Hong Kong</t>
  </si>
  <si>
    <t>Hungary</t>
  </si>
  <si>
    <t>Iceland</t>
  </si>
  <si>
    <t>India</t>
  </si>
  <si>
    <t>Indonesia</t>
  </si>
  <si>
    <t>Ireland</t>
  </si>
  <si>
    <t>Isle of Man</t>
  </si>
  <si>
    <t>Israel</t>
  </si>
  <si>
    <t>Italy</t>
  </si>
  <si>
    <t>Jamaica</t>
  </si>
  <si>
    <t>Japan</t>
  </si>
  <si>
    <t>Jordan</t>
  </si>
  <si>
    <t>Kazakhstan</t>
  </si>
  <si>
    <t>Kuwait</t>
  </si>
  <si>
    <t>Latvia</t>
  </si>
  <si>
    <t>Liechtenstein</t>
  </si>
  <si>
    <t>Lithuania</t>
  </si>
  <si>
    <t>Luxembourg</t>
  </si>
  <si>
    <t>Macedonia</t>
  </si>
  <si>
    <t>Malaysia</t>
  </si>
  <si>
    <t>Malta</t>
  </si>
  <si>
    <t>Mauritius</t>
  </si>
  <si>
    <t>Mexico</t>
  </si>
  <si>
    <t>Montenegro</t>
  </si>
  <si>
    <t>Mozambique</t>
  </si>
  <si>
    <t>Namibia</t>
  </si>
  <si>
    <t>Netherlands</t>
  </si>
  <si>
    <t>New Zealand</t>
  </si>
  <si>
    <t>Nigeria</t>
  </si>
  <si>
    <t>Norway</t>
  </si>
  <si>
    <t>Oman</t>
  </si>
  <si>
    <t>Pakistan</t>
  </si>
  <si>
    <t>Panama</t>
  </si>
  <si>
    <t>Papua New Guinea</t>
  </si>
  <si>
    <t>Paraguay</t>
  </si>
  <si>
    <t>Peru</t>
  </si>
  <si>
    <t>Philippines</t>
  </si>
  <si>
    <t>Poland</t>
  </si>
  <si>
    <t>Portugal</t>
  </si>
  <si>
    <t>Qatar</t>
  </si>
  <si>
    <t>Romania</t>
  </si>
  <si>
    <t>Russia</t>
  </si>
  <si>
    <t>Saudi Arabia</t>
  </si>
  <si>
    <t>Serbia</t>
  </si>
  <si>
    <t>Singapore</t>
  </si>
  <si>
    <t>Slovenia</t>
  </si>
  <si>
    <t>South Africa</t>
  </si>
  <si>
    <t>Spain</t>
  </si>
  <si>
    <t>Sri Lanka</t>
  </si>
  <si>
    <t>Sweden</t>
  </si>
  <si>
    <t>Switzerland</t>
  </si>
  <si>
    <t>Taiwan</t>
  </si>
  <si>
    <t>Thailand</t>
  </si>
  <si>
    <t>Tunisia</t>
  </si>
  <si>
    <t>Turkey</t>
  </si>
  <si>
    <t>Ukraine</t>
  </si>
  <si>
    <t>United Arab Emirates</t>
  </si>
  <si>
    <t>United Kingdom</t>
  </si>
  <si>
    <t>United States</t>
  </si>
  <si>
    <t>Uruguay</t>
  </si>
  <si>
    <t>Venezuela</t>
  </si>
  <si>
    <t>Vietnam</t>
  </si>
  <si>
    <t>Zambia</t>
  </si>
  <si>
    <t>Country</t>
  </si>
  <si>
    <t>Adj. Default Spread</t>
  </si>
  <si>
    <t>Country Risk Premium</t>
  </si>
  <si>
    <t>Region</t>
  </si>
  <si>
    <t>Western Europe</t>
  </si>
  <si>
    <t>Africa</t>
  </si>
  <si>
    <t>Central and South America</t>
  </si>
  <si>
    <t>Australia &amp; New Zealand</t>
  </si>
  <si>
    <t>Azerbaijan</t>
  </si>
  <si>
    <t>Caribbean</t>
  </si>
  <si>
    <t>Middle East</t>
  </si>
  <si>
    <t>Belize</t>
  </si>
  <si>
    <t>North America</t>
  </si>
  <si>
    <t>Cuba</t>
  </si>
  <si>
    <t>El Salvador</t>
  </si>
  <si>
    <t>Georgia</t>
  </si>
  <si>
    <t>Lebanon</t>
  </si>
  <si>
    <t>Moldova</t>
  </si>
  <si>
    <t>Mongolia</t>
  </si>
  <si>
    <t>Morocco</t>
  </si>
  <si>
    <t>Nicaragua</t>
  </si>
  <si>
    <t>Senegal</t>
  </si>
  <si>
    <t>Slovakia</t>
  </si>
  <si>
    <t>St. Vincent &amp; the Grenadines</t>
  </si>
  <si>
    <t>Suriname</t>
  </si>
  <si>
    <t>United States of America</t>
  </si>
  <si>
    <t>ERP</t>
  </si>
  <si>
    <t>Weighted ERP</t>
  </si>
  <si>
    <t>Weight</t>
  </si>
  <si>
    <t>Total</t>
  </si>
  <si>
    <t>Cost of capital =</t>
  </si>
  <si>
    <t>Standard deviation in stock prices =</t>
  </si>
  <si>
    <t>Date of valuation</t>
  </si>
  <si>
    <r>
      <rPr>
        <b/>
        <sz val="10"/>
        <rFont val="Helv"/>
      </rPr>
      <t>Important:</t>
    </r>
    <r>
      <rPr>
        <sz val="10"/>
        <rFont val="Helv"/>
      </rPr>
      <t xml:space="preserve"> Before you run this spreadsheet, go into preferences in Excel and check under Calculation options</t>
    </r>
  </si>
  <si>
    <t xml:space="preserve">Non-operating assets </t>
  </si>
  <si>
    <t xml:space="preserve"> + Non-operating assets</t>
  </si>
  <si>
    <t xml:space="preserve"> - Debt</t>
  </si>
  <si>
    <t>Minority interests</t>
  </si>
  <si>
    <t xml:space="preserve"> - Minority interests</t>
  </si>
  <si>
    <t>Business</t>
  </si>
  <si>
    <t>Estimated Value</t>
  </si>
  <si>
    <t>Last 10K</t>
  </si>
  <si>
    <t>Trailing 12 month</t>
  </si>
  <si>
    <t>Lease commitments</t>
  </si>
  <si>
    <t>Year 1</t>
  </si>
  <si>
    <t>Year 2</t>
  </si>
  <si>
    <t>Year 3</t>
  </si>
  <si>
    <t>Year 4</t>
  </si>
  <si>
    <t>Year 5</t>
  </si>
  <si>
    <t>Beyond year 5</t>
  </si>
  <si>
    <t>R &amp; D Converter</t>
  </si>
  <si>
    <t>This spreadsheet converts R&amp;D expenses from operating to capital expenses. It makes the appropriate adjustments to operating income, net</t>
  </si>
  <si>
    <t>income, the book value of assets and the book value of equity.</t>
  </si>
  <si>
    <t>Over how many years do you want to amortize R&amp;D expenses</t>
  </si>
  <si>
    <t>! If in doubt, use the lookup table below</t>
  </si>
  <si>
    <t>Enter the current year's R&amp;D expense =</t>
  </si>
  <si>
    <t>The maximum allowed is ten years</t>
  </si>
  <si>
    <t>Enter R&amp; D expenses for past years: the number of years that you will need to enter will be determined by the amortization period</t>
  </si>
  <si>
    <t>Do not input numbers in the first column (Year). It will get automatically updated  based on the input above.</t>
  </si>
  <si>
    <t>R&amp; D Expenses</t>
  </si>
  <si>
    <t>! Year -1 is the year prior to the current year</t>
  </si>
  <si>
    <t>! Year -2 is the two years prior to the current year</t>
  </si>
  <si>
    <t>R&amp;D Expense</t>
  </si>
  <si>
    <t>Unamortized portion</t>
  </si>
  <si>
    <t>Amortization this year</t>
  </si>
  <si>
    <t>Current</t>
  </si>
  <si>
    <t>Value of Research Asset =</t>
  </si>
  <si>
    <t>Amortization of asset for current year =</t>
  </si>
  <si>
    <t>Adjustment to Operating Income =</t>
  </si>
  <si>
    <t>! A positive number indicates an increase in operating income (add to reported EBIT)</t>
  </si>
  <si>
    <t>Tax Effect of R&amp;D Expensing</t>
  </si>
  <si>
    <t>Do you have R&amp;D expenses to capitalize?</t>
  </si>
  <si>
    <t xml:space="preserve"> If you want to capitalize R&amp;D, you have to input the numbers into the R&amp;D worksheet. </t>
  </si>
  <si>
    <t>First X months: Last year</t>
  </si>
  <si>
    <t>First X months: Current year</t>
  </si>
  <si>
    <t>If you are not working in US dollars, you should add the inflation differential to the industry averages.</t>
  </si>
  <si>
    <t>Numbers from your base year below ( in consistent units)</t>
  </si>
  <si>
    <t>Asia</t>
  </si>
  <si>
    <t>Kenya</t>
  </si>
  <si>
    <t>St. Maarten</t>
  </si>
  <si>
    <t>Uganda</t>
  </si>
  <si>
    <t>Industry (US)</t>
  </si>
  <si>
    <t>Industry (Global)</t>
  </si>
  <si>
    <t>Industry (Global data)</t>
  </si>
  <si>
    <t>Interest expense</t>
  </si>
  <si>
    <t>Interest expenses</t>
  </si>
  <si>
    <t>What approach do you want to use to input ERP?</t>
  </si>
  <si>
    <t>ERP choices</t>
  </si>
  <si>
    <t>Will input</t>
  </si>
  <si>
    <t>Operating countries</t>
  </si>
  <si>
    <t>Operating regions</t>
  </si>
  <si>
    <t>Country of incorporation</t>
  </si>
  <si>
    <t>Direct input for ERP (if you choose "will input"</t>
  </si>
  <si>
    <t>Equity Risk Premium used in cost of equity =</t>
  </si>
  <si>
    <t>Operating Regions ERP calculator</t>
  </si>
  <si>
    <t>Cost of debt</t>
  </si>
  <si>
    <t>Direct input</t>
  </si>
  <si>
    <t>Synthetic rating</t>
  </si>
  <si>
    <t>Actual rating</t>
  </si>
  <si>
    <t>Approach for estimating pre-tax cost of debt</t>
  </si>
  <si>
    <t>If actual rating, input the rating</t>
  </si>
  <si>
    <t>If direct input, input the pre-tax cost of debt</t>
  </si>
  <si>
    <t>D2/D</t>
  </si>
  <si>
    <t>Caa/CCC</t>
  </si>
  <si>
    <t>Ca2/CC</t>
  </si>
  <si>
    <t>C2/C</t>
  </si>
  <si>
    <t>B3/B-</t>
  </si>
  <si>
    <t>B2/B</t>
  </si>
  <si>
    <t>B1/B+</t>
  </si>
  <si>
    <t>Ba2/BB</t>
  </si>
  <si>
    <t>Ba1/BB+</t>
  </si>
  <si>
    <t>Baa2/BBB</t>
  </si>
  <si>
    <t>A3/A-</t>
  </si>
  <si>
    <t>A2/A</t>
  </si>
  <si>
    <t>A1/A+</t>
  </si>
  <si>
    <t>Aa2/AA</t>
  </si>
  <si>
    <t>Aaa/AAA</t>
  </si>
  <si>
    <t>If synethetic rating, input the type of company</t>
  </si>
  <si>
    <t>Estimated Company Default Spread =</t>
  </si>
  <si>
    <t>Estimated County Default Spread (if any) =</t>
  </si>
  <si>
    <t>Approach for estimating beta</t>
  </si>
  <si>
    <t>Beta</t>
  </si>
  <si>
    <t>If direct input, enter levered beta (or regression beta)</t>
  </si>
  <si>
    <t>Multi Business (US Industry Averages)</t>
  </si>
  <si>
    <t>Multi Business (Global Industry Averages)</t>
  </si>
  <si>
    <t>Multibusiness(Global)</t>
  </si>
  <si>
    <t>Single Business(US)</t>
  </si>
  <si>
    <t>Single Business(Global)</t>
  </si>
  <si>
    <t>Multibusiness(US)</t>
  </si>
  <si>
    <t>ROE</t>
  </si>
  <si>
    <t>Abu Dhabi</t>
  </si>
  <si>
    <t>Burkina Faso</t>
  </si>
  <si>
    <t>Cameroon</t>
  </si>
  <si>
    <t>Cape Verde</t>
  </si>
  <si>
    <t>Cook Islands</t>
  </si>
  <si>
    <t>Gabon</t>
  </si>
  <si>
    <t>Ghana</t>
  </si>
  <si>
    <t>Kyrgyzstan</t>
  </si>
  <si>
    <t>Montserrat</t>
  </si>
  <si>
    <t>Rwanda</t>
  </si>
  <si>
    <t>Global</t>
  </si>
  <si>
    <t>Adjustment to Depreciation =</t>
  </si>
  <si>
    <t>Non-cash WC as % of Revenues</t>
  </si>
  <si>
    <t>Cap Ex as % of Revenues</t>
  </si>
  <si>
    <t>Net Cap Ex as % of Revenues</t>
  </si>
  <si>
    <t>Reinvestment Rate</t>
  </si>
  <si>
    <t>Dividend Payout Ratio</t>
  </si>
  <si>
    <t>Equity Reinvestment Rate</t>
  </si>
  <si>
    <t>Andorra (Principality of)</t>
  </si>
  <si>
    <t>Congo (Democratic Republic of)</t>
  </si>
  <si>
    <t>Congo (Republic of)</t>
  </si>
  <si>
    <t>Ethiopia</t>
  </si>
  <si>
    <t>Ras Al Khaimah (Emirate of)</t>
  </si>
  <si>
    <t>Sharjah</t>
  </si>
  <si>
    <t>Auto &amp; Truck</t>
  </si>
  <si>
    <t>Green &amp; Renewable Energy</t>
  </si>
  <si>
    <t>Operating Countries ERP calculator</t>
  </si>
  <si>
    <t>Cash and Marketable Securities</t>
  </si>
  <si>
    <t>Cross holdings and other non-operating assets</t>
  </si>
  <si>
    <t>Profitability Lever</t>
  </si>
  <si>
    <t>Growth Lever</t>
  </si>
  <si>
    <t>Valuation Output Feedback (for you to use to fine tune your inputs, if you want)</t>
  </si>
  <si>
    <t>Revenues in year 10, based on your revenue growth =</t>
  </si>
  <si>
    <t>Return on invested capital in year 10, based on your sales/capital ratio =</t>
  </si>
  <si>
    <t>Pre-tax Operating Income in year 10, based on your operating margin =</t>
  </si>
  <si>
    <t>Check the Diagnostics worksheet for more details.</t>
  </si>
  <si>
    <t>Do you want to override this assumption</t>
  </si>
  <si>
    <t>&amp; Average tax rate of the foreign markets where the cash is trapped</t>
  </si>
  <si>
    <t>Corporate Tax Rate</t>
  </si>
  <si>
    <t>I will assume that the growth rate in perpetuity will be equal to the risk free rate. This allows for both valuation consistency and prevents "impossible" growth rates.</t>
  </si>
  <si>
    <t>If yes, enter the growth rate in perpetuity</t>
  </si>
  <si>
    <t>This can be negative, if you feel the company will decline (and disappear) after growth is done. If you let it exceed the risk free rate, you are on your own in uncharted territory.</t>
  </si>
  <si>
    <t>Value per share</t>
  </si>
  <si>
    <t>Years since last 10K</t>
  </si>
  <si>
    <t>I have assumed that none of the cash is trapped (in foreign countries) and that there is no additional tax liability coming due and that cash is a neutral asset.</t>
  </si>
  <si>
    <t>Cash that is trapped in foreign markets (and subject to additoinal tax) or cash that is being discounted by the market (because of management mistrust)</t>
  </si>
  <si>
    <t>Additional tax rate due on trapped cash or discount being applied to cash balance because of mistrust.</t>
  </si>
  <si>
    <t>If yes, enter trapped cash (if taxes) or entire balance (if mistrust)</t>
  </si>
  <si>
    <t>The Assumptions</t>
  </si>
  <si>
    <t>Base year</t>
  </si>
  <si>
    <t>Years 1-5</t>
  </si>
  <si>
    <t>Years 6-10</t>
  </si>
  <si>
    <t>Operating Margin</t>
  </si>
  <si>
    <t>The Cash Flows</t>
  </si>
  <si>
    <t>EBIT (1-t)</t>
  </si>
  <si>
    <t>The Value</t>
  </si>
  <si>
    <t>Terminal value</t>
  </si>
  <si>
    <t>PV(Terminal value)</t>
  </si>
  <si>
    <t>Link to story</t>
  </si>
  <si>
    <t>Revenues (a)</t>
  </si>
  <si>
    <t>Operating margin (b)</t>
  </si>
  <si>
    <t>Reinvestment (c )</t>
  </si>
  <si>
    <t>Cost of capital (d)</t>
  </si>
  <si>
    <t xml:space="preserve">Reinvestment </t>
  </si>
  <si>
    <t>Number of shares</t>
  </si>
  <si>
    <t>Sales to capital ratio =</t>
  </si>
  <si>
    <t>EBIT</t>
  </si>
  <si>
    <t>Adjustment for distress</t>
  </si>
  <si>
    <t xml:space="preserve"> + Cash &amp; Other Non-operating assets</t>
  </si>
  <si>
    <t xml:space="preserve"> - Value of equity options</t>
  </si>
  <si>
    <t>Tell your story about the company. Keep it focuses on the company's businesses and tie it into the three key levers of value: cash flows, growth and risk</t>
  </si>
  <si>
    <t>Tie each assumption to the part of your story that relates to it.</t>
  </si>
  <si>
    <t>These are the numbers that come from your assumptions. The revenues over time reflect your revenue growth, the operating margins evolve towards your target margin and your tax rate will change, if you have set it to. The reinvestment is estimated using the sales to capital ratio for the first 10 years and based on a reinvestment rate in stable growth (g/ ROC).</t>
  </si>
  <si>
    <t>Return on capital</t>
  </si>
  <si>
    <t>Marginal ROIC =</t>
  </si>
  <si>
    <t>RIR =</t>
  </si>
  <si>
    <t>This is the output from your valuation. It reflects your cash flows being discounted back at the cost of capital to get to your operating asset value, which then gets adjusted for the likelihood that your firm will not make it. We add cash and non-operating assets, subtract out debt and minority interests to get to value of equity.</t>
  </si>
  <si>
    <t>Iraq</t>
  </si>
  <si>
    <t>The last two rows in each of country/region risk premium tables is set aside for your input to provide you with flexibility to enter some numbers directly. For instance, assume that you have a company that breaks its revenues down into three countries and then puts the rest into "Rest of the World". You can enter the "Rest of the World" in one of these two rows and enter an equity risk premium for the rest of the world. The easiest way to do that is to go into the country equity risk premium worksheet and change the GDP for the three countries that you have data for to zero and compute the global weighted average ERP for the remaining countries. With the regional worksheet, you can use the last two rows to enter the data for an individual country (usually the domestic country) that might be broken out though the rest of the revenues are broken down by region. You can look up the ERP for the country in the country ERP worksheet.</t>
  </si>
  <si>
    <t>Current year's lease expense</t>
  </si>
  <si>
    <t>Copy into operating lease worksheet</t>
  </si>
  <si>
    <t>Year of convergence</t>
  </si>
  <si>
    <t>Speed of convergence level</t>
  </si>
  <si>
    <t>Moody's rating</t>
  </si>
  <si>
    <t>Equity Risk Premium</t>
  </si>
  <si>
    <t>Aa2</t>
  </si>
  <si>
    <t>B1</t>
  </si>
  <si>
    <t>Algeria</t>
  </si>
  <si>
    <t>Baa2</t>
  </si>
  <si>
    <t>B2</t>
  </si>
  <si>
    <t>Baa1</t>
  </si>
  <si>
    <t>Aaa</t>
  </si>
  <si>
    <t>Aa1</t>
  </si>
  <si>
    <t>Ba2</t>
  </si>
  <si>
    <t>Baa3</t>
  </si>
  <si>
    <t>Ba3</t>
  </si>
  <si>
    <t>Caa1</t>
  </si>
  <si>
    <t>Aa3</t>
  </si>
  <si>
    <t>B3</t>
  </si>
  <si>
    <t>Benin</t>
  </si>
  <si>
    <t>A2</t>
  </si>
  <si>
    <t>Brunei</t>
  </si>
  <si>
    <t>A1</t>
  </si>
  <si>
    <t>Caa2</t>
  </si>
  <si>
    <t>A3</t>
  </si>
  <si>
    <t>Gambia</t>
  </si>
  <si>
    <t>Ba1</t>
  </si>
  <si>
    <t>Guinea</t>
  </si>
  <si>
    <t>Guinea-Bissau</t>
  </si>
  <si>
    <t>Guyana</t>
  </si>
  <si>
    <t>Haiti</t>
  </si>
  <si>
    <t>Iran</t>
  </si>
  <si>
    <t>Korea, D.P.R.</t>
  </si>
  <si>
    <t>Liberia</t>
  </si>
  <si>
    <t>Libya</t>
  </si>
  <si>
    <t>Madagascar</t>
  </si>
  <si>
    <t>Malawi</t>
  </si>
  <si>
    <t>Mali</t>
  </si>
  <si>
    <t>Myanmar</t>
  </si>
  <si>
    <t>Niger</t>
  </si>
  <si>
    <t>Sierra Leone</t>
  </si>
  <si>
    <t>Solomon Islands</t>
  </si>
  <si>
    <t>Somalia</t>
  </si>
  <si>
    <t>Sudan</t>
  </si>
  <si>
    <t>Swaziland</t>
  </si>
  <si>
    <t>Syria</t>
  </si>
  <si>
    <t>Tajikistan</t>
  </si>
  <si>
    <t>Tanzania</t>
  </si>
  <si>
    <t>Togo</t>
  </si>
  <si>
    <t>Zimbabwe</t>
  </si>
  <si>
    <t>Mature Market ERP +</t>
  </si>
  <si>
    <t>You can use this spreadsheet to compute your cost of capital. You can either use the built-in data to compute key inputs (beta, equity risk premium, default spread) or enter them directly. If you choose to use the built in ERP data, you can update the ERP numbers to reflect a more current mature market premuum (since the spreadsheet uses the start of the year numbers).</t>
  </si>
  <si>
    <t>C</t>
  </si>
  <si>
    <t>Pre-tax Operating Margin (Unadjusted)</t>
  </si>
  <si>
    <t>Rest of the World</t>
  </si>
  <si>
    <t>G&amp;A</t>
  </si>
  <si>
    <t>Marketing Costs</t>
  </si>
  <si>
    <t>Content Costs</t>
  </si>
  <si>
    <t>Content Costs (Cash Flows)</t>
  </si>
  <si>
    <t>Laos</t>
  </si>
  <si>
    <t>Pre-tax Operating Margin (Lease &amp; R&amp;D adjusted)</t>
  </si>
  <si>
    <t>R&amp;D</t>
  </si>
  <si>
    <t>Investment Efficiency</t>
  </si>
  <si>
    <t>Growth in EV market &amp; Tesla's early mover advantage work in its favor.</t>
  </si>
  <si>
    <t>Global tax rate</t>
  </si>
  <si>
    <t>Capacity build up allows for less reinvestment in the near years.</t>
  </si>
  <si>
    <t>Moves to median company cost of capital</t>
  </si>
  <si>
    <t>Cost of entry will limit competition.</t>
  </si>
  <si>
    <t xml:space="preserve"> - Debt &amp; Minority Interests</t>
  </si>
  <si>
    <t>Value of equity =</t>
  </si>
  <si>
    <t>Changing this number will update all your country equity risk premiums.</t>
  </si>
  <si>
    <t>NR</t>
  </si>
  <si>
    <t>Ca</t>
  </si>
  <si>
    <t>Caa3</t>
  </si>
  <si>
    <t>Guernsey (States of)</t>
  </si>
  <si>
    <t>Jersey (States of)</t>
  </si>
  <si>
    <t>Maldives</t>
  </si>
  <si>
    <t>Uzbekistan</t>
  </si>
  <si>
    <t>Tax Rate</t>
  </si>
  <si>
    <t>Weighted Average: CRP</t>
  </si>
  <si>
    <t>Aerospace/Defense</t>
  </si>
  <si>
    <t>Air Transport</t>
  </si>
  <si>
    <t>Apparel</t>
  </si>
  <si>
    <t>Auto Parts</t>
  </si>
  <si>
    <t>Bank (Money Center)</t>
  </si>
  <si>
    <t>Banks (Regional)</t>
  </si>
  <si>
    <t>Beverage (Alcoholic)</t>
  </si>
  <si>
    <t>Beverage (Soft)</t>
  </si>
  <si>
    <t>Broadcasting</t>
  </si>
  <si>
    <t>Brokerage &amp; Investment Banking</t>
  </si>
  <si>
    <t>Building Materials</t>
  </si>
  <si>
    <t>Business &amp; Consumer Services</t>
  </si>
  <si>
    <t>Cable TV</t>
  </si>
  <si>
    <t>Chemical (Basic)</t>
  </si>
  <si>
    <t>Chemical (Diversified)</t>
  </si>
  <si>
    <t>Chemical (Specialty)</t>
  </si>
  <si>
    <t>Coal &amp; Related Energy</t>
  </si>
  <si>
    <t>Computer Services</t>
  </si>
  <si>
    <t>Computers/Peripherals</t>
  </si>
  <si>
    <t>Construction Supplies</t>
  </si>
  <si>
    <t>Diversified</t>
  </si>
  <si>
    <t>Drugs (Biotechnology)</t>
  </si>
  <si>
    <t>Drugs (Pharmaceutical)</t>
  </si>
  <si>
    <t>Education</t>
  </si>
  <si>
    <t>Electrical Equipment</t>
  </si>
  <si>
    <t>Electronics (Consumer &amp; Office)</t>
  </si>
  <si>
    <t>Electronics (General)</t>
  </si>
  <si>
    <t>Engineering/Construction</t>
  </si>
  <si>
    <t>Entertainment</t>
  </si>
  <si>
    <t>Environmental &amp; Waste Services</t>
  </si>
  <si>
    <t>Farming/Agriculture</t>
  </si>
  <si>
    <t>Financial Svcs. (Non-bank &amp; Insurance)</t>
  </si>
  <si>
    <t>Food Processing</t>
  </si>
  <si>
    <t>Food Wholesalers</t>
  </si>
  <si>
    <t>Furn/Home Furnishings</t>
  </si>
  <si>
    <t>Healthcare Products</t>
  </si>
  <si>
    <t>Healthcare Support Services</t>
  </si>
  <si>
    <t>Heathcare Information and Technology</t>
  </si>
  <si>
    <t>Homebuilding</t>
  </si>
  <si>
    <t>Hospitals/Healthcare Facilities</t>
  </si>
  <si>
    <t>Hotel/Gaming</t>
  </si>
  <si>
    <t>Household Products</t>
  </si>
  <si>
    <t>Information Services</t>
  </si>
  <si>
    <t>Insurance (General)</t>
  </si>
  <si>
    <t>Insurance (Life)</t>
  </si>
  <si>
    <t>Insurance (Prop/Cas.)</t>
  </si>
  <si>
    <t>Investments &amp; Asset Management</t>
  </si>
  <si>
    <t>Machinery</t>
  </si>
  <si>
    <t>Metals &amp; Mining</t>
  </si>
  <si>
    <t>Office Equipment &amp; Services</t>
  </si>
  <si>
    <t>Oil/Gas (Integrated)</t>
  </si>
  <si>
    <t>Oil/Gas (Production and Exploration)</t>
  </si>
  <si>
    <t>Oil/Gas Distribution</t>
  </si>
  <si>
    <t>Oilfield Svcs/Equip.</t>
  </si>
  <si>
    <t>Packaging &amp; Container</t>
  </si>
  <si>
    <t>Paper/Forest Products</t>
  </si>
  <si>
    <t>Power</t>
  </si>
  <si>
    <t>Precious Metals</t>
  </si>
  <si>
    <t>Publishing &amp; Newspapers</t>
  </si>
  <si>
    <t>R.E.I.T.</t>
  </si>
  <si>
    <t>Real Estate (Development)</t>
  </si>
  <si>
    <t>Real Estate (General/Diversified)</t>
  </si>
  <si>
    <t>Real Estate (Operations &amp; Services)</t>
  </si>
  <si>
    <t>Recreation</t>
  </si>
  <si>
    <t>Reinsurance</t>
  </si>
  <si>
    <t>Restaurant/Dining</t>
  </si>
  <si>
    <t>Retail (Automotive)</t>
  </si>
  <si>
    <t>Retail (Building Supply)</t>
  </si>
  <si>
    <t>Retail (Distributors)</t>
  </si>
  <si>
    <t>Retail (General)</t>
  </si>
  <si>
    <t>Retail (Grocery and Food)</t>
  </si>
  <si>
    <t>Retail (Special Lines)</t>
  </si>
  <si>
    <t>Rubber&amp; Tires</t>
  </si>
  <si>
    <t>Semiconductor</t>
  </si>
  <si>
    <t>Semiconductor Equip</t>
  </si>
  <si>
    <t>Shipbuilding &amp; Marine</t>
  </si>
  <si>
    <t>Shoe</t>
  </si>
  <si>
    <t>Software (Entertainment)</t>
  </si>
  <si>
    <t>Software (Internet)</t>
  </si>
  <si>
    <t>Software (System &amp; Application)</t>
  </si>
  <si>
    <t>Steel</t>
  </si>
  <si>
    <t>Telecom (Wireless)</t>
  </si>
  <si>
    <t>Telecom. Equipment</t>
  </si>
  <si>
    <t>Telecom. Services</t>
  </si>
  <si>
    <t>Tobacco</t>
  </si>
  <si>
    <t>Transportation</t>
  </si>
  <si>
    <t>Transportation (Railroads)</t>
  </si>
  <si>
    <t>Trucking</t>
  </si>
  <si>
    <t>Utility (General)</t>
  </si>
  <si>
    <t>Utility (Water)</t>
  </si>
  <si>
    <t>Tech twist gives a boost, but price cuts and cost pressures will cap margins</t>
  </si>
  <si>
    <t>Total Revenues</t>
  </si>
  <si>
    <t>Year 10</t>
  </si>
  <si>
    <t>Value</t>
  </si>
  <si>
    <t>Tesla Business</t>
  </si>
  <si>
    <t>SpaceX</t>
  </si>
  <si>
    <t>Revenues(Launch)</t>
  </si>
  <si>
    <t>Revenues (Starlink)</t>
  </si>
  <si>
    <t>Revenues (xAI)</t>
  </si>
  <si>
    <t>Revenues (Other)</t>
  </si>
  <si>
    <t>Operating margin (Launch)</t>
  </si>
  <si>
    <t>Operating margin (Starlink)</t>
  </si>
  <si>
    <t>Operating margin (xAI)</t>
  </si>
  <si>
    <t>Operating margin (Other)</t>
  </si>
  <si>
    <t>Revenues (Launch)</t>
  </si>
  <si>
    <t>Revenues (Launch) in 2036 =</t>
  </si>
  <si>
    <t>Revenues (Starlink) in 2036 =</t>
  </si>
  <si>
    <t>Revenues (xAI) in 2036 =</t>
  </si>
  <si>
    <t>Target operating margin (Launch) =</t>
  </si>
  <si>
    <t>Target operating margin (Starlink) =</t>
  </si>
  <si>
    <t>Target operating margin (xAI) =</t>
  </si>
  <si>
    <t>Target operating margin (Other) =</t>
  </si>
  <si>
    <t>Revenues (Other) in 2036 =</t>
  </si>
  <si>
    <t>Sales to capital ratio  (Launch) =</t>
  </si>
  <si>
    <t>Sales to capital ratio (Starlink)</t>
  </si>
  <si>
    <t>Sales to capital ratio (xAI)</t>
  </si>
  <si>
    <t>Sales to capital ratio (Other)</t>
  </si>
  <si>
    <t>Reinvestment (total)</t>
  </si>
  <si>
    <t>Reinvestment (Launch)</t>
  </si>
  <si>
    <t>Reinvestment (Starlink)</t>
  </si>
  <si>
    <t xml:space="preserve"> Reinvestment  (xAI)</t>
  </si>
  <si>
    <t>Reinvestment  (Other)</t>
  </si>
  <si>
    <t>Sales to capital ratio (Launch)</t>
  </si>
  <si>
    <t>Updated January 1, 2026</t>
  </si>
  <si>
    <t>Anguilla</t>
  </si>
  <si>
    <t>Antigua &amp; Barbuda</t>
  </si>
  <si>
    <t>British Virgin Islands</t>
  </si>
  <si>
    <t>Channel Islands</t>
  </si>
  <si>
    <t>Curaçao</t>
  </si>
  <si>
    <t>Falkland Islands</t>
  </si>
  <si>
    <t>French Guiana</t>
  </si>
  <si>
    <t>Gibraltar</t>
  </si>
  <si>
    <t>Greenland</t>
  </si>
  <si>
    <t>Ivory Coast</t>
  </si>
  <si>
    <t>Macau</t>
  </si>
  <si>
    <t>Martinique</t>
  </si>
  <si>
    <t>Monaco</t>
  </si>
  <si>
    <t>Nepal</t>
  </si>
  <si>
    <t>Netherlands Antilles</t>
  </si>
  <si>
    <t>Palestinian Authority</t>
  </si>
  <si>
    <t>Reunion</t>
  </si>
  <si>
    <t>Saint Lucia</t>
  </si>
  <si>
    <t>South Korea</t>
  </si>
  <si>
    <t>Trinidad &amp;' Tobago</t>
  </si>
  <si>
    <t>Turks &amp; Caicos Islands</t>
  </si>
  <si>
    <t>Yemen</t>
  </si>
  <si>
    <t>Weighted Average: Default Spread</t>
  </si>
  <si>
    <t>Total GDP (in $ millions)</t>
  </si>
  <si>
    <t>Eastern Europe</t>
  </si>
  <si>
    <t>Default Spread</t>
  </si>
  <si>
    <t>CRP</t>
  </si>
  <si>
    <t>Africa &amp; Mid East</t>
  </si>
  <si>
    <t>Australia, NZ &amp; Canada</t>
  </si>
  <si>
    <t>Latin America &amp; Caribbean</t>
  </si>
  <si>
    <t>US</t>
  </si>
  <si>
    <t>Europe</t>
  </si>
  <si>
    <t>Emerging Markets</t>
  </si>
  <si>
    <t>Small Asia (No India, China &amp; Japan)</t>
  </si>
  <si>
    <t>For other regional groupings</t>
  </si>
  <si>
    <t>EMEA</t>
  </si>
  <si>
    <t>Retail (REITs)</t>
  </si>
  <si>
    <t>Total Market</t>
  </si>
  <si>
    <t>Total Market (without financials)</t>
  </si>
  <si>
    <t>To infinity and beyond</t>
  </si>
  <si>
    <t>Imputed Revenue growth rate</t>
  </si>
  <si>
    <t>Launch</t>
  </si>
  <si>
    <t>Starlink</t>
  </si>
  <si>
    <t>xAI</t>
  </si>
  <si>
    <t>Expansion</t>
  </si>
  <si>
    <t>Expected proceeds on IPO offering</t>
  </si>
  <si>
    <t xml:space="preserve"> +  Cash + IPO Proceeds</t>
  </si>
  <si>
    <t>Enter the proceeds that SpaceX will generate from its IPO. I will adjust the cash balance and shares outstanding.</t>
  </si>
  <si>
    <t>Based on private company pricing</t>
  </si>
  <si>
    <t>Includes deep in the money options</t>
  </si>
  <si>
    <t>Includes $75 billion from IPO offering</t>
  </si>
  <si>
    <t>Includes added shares from $75 billion @ intrnsic value</t>
  </si>
  <si>
    <t>Offering price set at $135 on June 3, 2026</t>
  </si>
  <si>
    <t>SpaceX has three spokes in its business wheel - a space launch business, where it dominates because of its cost advantages over competiton, a connectivity business where it uses the lead it has in satellites to establish a clear frontrunner status and an AI business, whcih has the largest market potential but the shakiest business economics. I value the three businesses, with their specific characteristics, and report the aggregated numbers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</si>
</sst>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8" formatCode="&quot;$&quot;#,##0.00_);[Red]\(&quot;$&quot;#,##0.00\)"/>
    <numFmt numFmtId="44" formatCode="_(&quot;$&quot;* #,##0.00_);_(&quot;$&quot;* \(#,##0.00\);_(&quot;$&quot;* &quot;-&quot;??_);_(@_)"/>
    <numFmt numFmtId="43" formatCode="_(* #,##0.00_);_(* \(#,##0.00\);_(* &quot;-&quot;??_);_(@_)"/>
    <numFmt numFmtId="164" formatCode="&quot;$&quot;#,##0.00"/>
    <numFmt numFmtId="165" formatCode="#,##0.0000"/>
    <numFmt numFmtId="166" formatCode="0.000%"/>
    <numFmt numFmtId="167" formatCode="0.0000%"/>
    <numFmt numFmtId="168" formatCode="_(&quot;$&quot;* #,##0_);_(&quot;$&quot;* \(#,##0\);_(&quot;$&quot;* &quot;-&quot;??_);_(@_)"/>
    <numFmt numFmtId="169" formatCode="0.0000"/>
    <numFmt numFmtId="170" formatCode="_(* #,##0.0_);_(* \(#,##0.0\)_)\ ;_(* 0_)"/>
    <numFmt numFmtId="171" formatCode="_([$$-409]* #,##0.00_);_([$$-409]* \(#,##0.00\);_([$$-409]* &quot;-&quot;??_);_(@_)"/>
    <numFmt numFmtId="172" formatCode="&quot;$&quot;#,##0"/>
  </numFmts>
  <fonts count="77">
    <font>
      <sz val="9"/>
      <name val="Geneva"/>
      <family val="2"/>
    </font>
    <font>
      <sz val="12"/>
      <color theme="1"/>
      <name val="Calibri"/>
      <family val="2"/>
      <scheme val="minor"/>
    </font>
    <font>
      <i/>
      <sz val="9"/>
      <name val="Geneva"/>
      <family val="2"/>
    </font>
    <font>
      <sz val="9"/>
      <name val="Geneva"/>
      <family val="2"/>
    </font>
    <font>
      <sz val="8"/>
      <name val="Geneva"/>
      <family val="2"/>
    </font>
    <font>
      <sz val="8"/>
      <name val="돋움"/>
      <family val="3"/>
    </font>
    <font>
      <sz val="8"/>
      <name val="Verdana"/>
      <family val="2"/>
    </font>
    <font>
      <sz val="9"/>
      <name val="Helv"/>
    </font>
    <font>
      <sz val="12"/>
      <name val="Arial"/>
      <family val="2"/>
    </font>
    <font>
      <b/>
      <i/>
      <sz val="12"/>
      <name val="Arial"/>
      <family val="2"/>
    </font>
    <font>
      <b/>
      <sz val="14"/>
      <name val="Times"/>
      <family val="1"/>
    </font>
    <font>
      <b/>
      <sz val="14"/>
      <name val="Geneva"/>
      <family val="2"/>
    </font>
    <font>
      <sz val="10"/>
      <name val="Times"/>
      <family val="1"/>
    </font>
    <font>
      <b/>
      <i/>
      <sz val="10"/>
      <name val="Times"/>
      <family val="1"/>
    </font>
    <font>
      <i/>
      <sz val="10"/>
      <name val="Times"/>
      <family val="1"/>
    </font>
    <font>
      <i/>
      <sz val="10"/>
      <name val="Geneva"/>
      <family val="2"/>
    </font>
    <font>
      <b/>
      <sz val="10"/>
      <name val="Times"/>
      <family val="1"/>
    </font>
    <font>
      <sz val="9"/>
      <color indexed="81"/>
      <name val="Geneva"/>
      <family val="2"/>
    </font>
    <font>
      <b/>
      <sz val="9"/>
      <color indexed="81"/>
      <name val="Geneva"/>
      <family val="2"/>
    </font>
    <font>
      <b/>
      <sz val="12"/>
      <name val="Times"/>
      <family val="1"/>
    </font>
    <font>
      <sz val="10"/>
      <name val="Geneva"/>
      <family val="2"/>
    </font>
    <font>
      <i/>
      <sz val="12"/>
      <name val="Times"/>
      <family val="1"/>
    </font>
    <font>
      <sz val="12"/>
      <name val="Times"/>
      <family val="1"/>
    </font>
    <font>
      <b/>
      <i/>
      <u/>
      <sz val="12"/>
      <name val="Times"/>
      <family val="1"/>
    </font>
    <font>
      <b/>
      <sz val="10"/>
      <name val="Helv"/>
    </font>
    <font>
      <sz val="10"/>
      <name val="Helv"/>
    </font>
    <font>
      <b/>
      <i/>
      <sz val="10"/>
      <name val="Helv"/>
    </font>
    <font>
      <i/>
      <sz val="10"/>
      <name val="Helv"/>
    </font>
    <font>
      <b/>
      <i/>
      <sz val="14"/>
      <name val="Times"/>
      <family val="1"/>
    </font>
    <font>
      <b/>
      <i/>
      <sz val="12"/>
      <name val="Times"/>
      <family val="1"/>
    </font>
    <font>
      <i/>
      <sz val="12"/>
      <name val="Geneva"/>
      <family val="2"/>
    </font>
    <font>
      <b/>
      <sz val="10"/>
      <name val="Geneva"/>
      <family val="2"/>
    </font>
    <font>
      <b/>
      <sz val="10"/>
      <name val="Arial"/>
      <family val="2"/>
    </font>
    <font>
      <sz val="10"/>
      <name val="Arial"/>
      <family val="2"/>
    </font>
    <font>
      <sz val="9"/>
      <name val="Times"/>
      <family val="1"/>
    </font>
    <font>
      <b/>
      <sz val="9"/>
      <name val="Times"/>
      <family val="1"/>
    </font>
    <font>
      <b/>
      <sz val="9"/>
      <name val="Helv"/>
    </font>
    <font>
      <i/>
      <sz val="14"/>
      <name val="Times"/>
      <family val="1"/>
    </font>
    <font>
      <sz val="8"/>
      <name val="Arial"/>
      <family val="2"/>
    </font>
    <font>
      <sz val="10"/>
      <color indexed="81"/>
      <name val="Calibri"/>
      <family val="2"/>
    </font>
    <font>
      <b/>
      <sz val="10"/>
      <color indexed="81"/>
      <name val="Calibri"/>
      <family val="2"/>
    </font>
    <font>
      <i/>
      <sz val="9"/>
      <name val="Helv"/>
    </font>
    <font>
      <sz val="12"/>
      <color rgb="FFFF0000"/>
      <name val="Calibri"/>
      <family val="2"/>
      <scheme val="minor"/>
    </font>
    <font>
      <i/>
      <sz val="10"/>
      <color rgb="FFFF0000"/>
      <name val="Helv"/>
    </font>
    <font>
      <sz val="12"/>
      <color rgb="FFFF0000"/>
      <name val="Times"/>
      <family val="1"/>
    </font>
    <font>
      <b/>
      <sz val="10"/>
      <color theme="1"/>
      <name val="Helv"/>
    </font>
    <font>
      <sz val="10"/>
      <name val="Calibri"/>
      <family val="2"/>
      <scheme val="minor"/>
    </font>
    <font>
      <i/>
      <sz val="9"/>
      <color rgb="FFFF0000"/>
      <name val="Helv"/>
    </font>
    <font>
      <sz val="12"/>
      <name val="Calibri"/>
      <family val="2"/>
      <scheme val="minor"/>
    </font>
    <font>
      <i/>
      <sz val="12"/>
      <color rgb="FFFF0000"/>
      <name val="Calibri (Body)"/>
    </font>
    <font>
      <i/>
      <sz val="12"/>
      <color rgb="FFFF0000"/>
      <name val="Geneva"/>
      <family val="2"/>
    </font>
    <font>
      <sz val="12"/>
      <color rgb="FFFF0000"/>
      <name val="Calibri (Body)"/>
    </font>
    <font>
      <sz val="10"/>
      <color rgb="FFFF0000"/>
      <name val="Arial"/>
      <family val="2"/>
    </font>
    <font>
      <b/>
      <sz val="9"/>
      <color rgb="FF000000"/>
      <name val="Geneva"/>
      <family val="2"/>
    </font>
    <font>
      <sz val="9"/>
      <color rgb="FF000000"/>
      <name val="Geneva"/>
      <family val="2"/>
    </font>
    <font>
      <b/>
      <sz val="10"/>
      <color rgb="FF000000"/>
      <name val="Calibri"/>
      <family val="2"/>
    </font>
    <font>
      <sz val="10"/>
      <color rgb="FF000000"/>
      <name val="Calibri"/>
      <family val="2"/>
    </font>
    <font>
      <b/>
      <sz val="9"/>
      <name val="Geneva"/>
      <family val="2"/>
    </font>
    <font>
      <sz val="8"/>
      <color indexed="8"/>
      <name val="Arial"/>
      <family val="2"/>
    </font>
    <font>
      <sz val="10"/>
      <color theme="1"/>
      <name val="Helv"/>
    </font>
    <font>
      <b/>
      <sz val="9"/>
      <color rgb="FF000000"/>
      <name val="Geneva"/>
      <family val="2"/>
      <charset val="1"/>
    </font>
    <font>
      <sz val="9"/>
      <color rgb="FF000000"/>
      <name val="Geneva"/>
      <family val="2"/>
      <charset val="1"/>
    </font>
    <font>
      <i/>
      <sz val="10"/>
      <name val="Geneva"/>
      <family val="2"/>
      <charset val="1"/>
    </font>
    <font>
      <i/>
      <sz val="9"/>
      <name val="Geneva"/>
      <family val="2"/>
      <charset val="1"/>
    </font>
    <font>
      <sz val="12"/>
      <color theme="0"/>
      <name val="Times"/>
      <family val="1"/>
    </font>
    <font>
      <sz val="9"/>
      <color theme="0"/>
      <name val="Geneva"/>
      <family val="2"/>
    </font>
    <font>
      <b/>
      <sz val="14"/>
      <color theme="0"/>
      <name val="Helvetica"/>
      <family val="2"/>
    </font>
    <font>
      <b/>
      <i/>
      <sz val="14"/>
      <color theme="0"/>
      <name val="Helvetica"/>
      <family val="2"/>
    </font>
    <font>
      <sz val="14"/>
      <color theme="0"/>
      <name val="Helvetica"/>
      <family val="2"/>
    </font>
    <font>
      <i/>
      <sz val="14"/>
      <color theme="0"/>
      <name val="Helvetica"/>
      <family val="2"/>
    </font>
    <font>
      <i/>
      <sz val="12"/>
      <name val="Calibri"/>
      <family val="2"/>
      <scheme val="minor"/>
    </font>
    <font>
      <sz val="12"/>
      <color theme="1"/>
      <name val="Arial"/>
      <family val="2"/>
    </font>
    <font>
      <sz val="12"/>
      <color rgb="FF000000"/>
      <name val="Calibri"/>
      <family val="2"/>
      <scheme val="minor"/>
    </font>
    <font>
      <sz val="9"/>
      <color theme="1"/>
      <name val="Geneva"/>
      <family val="2"/>
      <charset val="1"/>
    </font>
    <font>
      <sz val="10"/>
      <color rgb="FF000000"/>
      <name val="Helvetica"/>
      <family val="2"/>
    </font>
    <font>
      <i/>
      <sz val="12"/>
      <name val="Helvetica"/>
      <family val="2"/>
    </font>
    <font>
      <sz val="12"/>
      <name val="Helvetica"/>
      <family val="2"/>
    </font>
  </fonts>
  <fills count="15">
    <fill>
      <patternFill patternType="none"/>
    </fill>
    <fill>
      <patternFill patternType="gray125"/>
    </fill>
    <fill>
      <patternFill patternType="solid">
        <fgColor indexed="42"/>
        <bgColor indexed="64"/>
      </patternFill>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rgb="FFCCFFCC"/>
        <bgColor indexed="64"/>
      </patternFill>
    </fill>
    <fill>
      <patternFill patternType="solid">
        <fgColor rgb="FFFF0000"/>
        <bgColor indexed="64"/>
      </patternFill>
    </fill>
    <fill>
      <patternFill patternType="solid">
        <fgColor rgb="FFFFFF00"/>
        <bgColor rgb="FF000000"/>
      </patternFill>
    </fill>
    <fill>
      <patternFill patternType="solid">
        <fgColor rgb="FFFFFFFF"/>
        <bgColor rgb="FF000000"/>
      </patternFill>
    </fill>
    <fill>
      <patternFill patternType="solid">
        <fgColor rgb="FF92D050"/>
        <bgColor indexed="64"/>
      </patternFill>
    </fill>
    <fill>
      <patternFill patternType="solid">
        <fgColor theme="0" tint="-0.14999847407452621"/>
        <bgColor indexed="64"/>
      </patternFill>
    </fill>
    <fill>
      <patternFill patternType="solid">
        <fgColor theme="2"/>
        <bgColor indexed="64"/>
      </patternFill>
    </fill>
    <fill>
      <patternFill patternType="solid">
        <fgColor theme="1"/>
        <bgColor indexed="64"/>
      </patternFill>
    </fill>
    <fill>
      <patternFill patternType="solid">
        <fgColor theme="2"/>
        <bgColor theme="0" tint="-0.14999847407452621"/>
      </patternFill>
    </fill>
  </fills>
  <borders count="4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top/>
      <bottom/>
      <diagonal/>
    </border>
    <border>
      <left/>
      <right style="thin">
        <color indexed="64"/>
      </right>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theme="1"/>
      </left>
      <right style="thin">
        <color theme="1"/>
      </right>
      <top style="thin">
        <color theme="1"/>
      </top>
      <bottom style="thin">
        <color theme="1"/>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s>
  <cellStyleXfs count="4">
    <xf numFmtId="0" fontId="0"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cellStyleXfs>
  <cellXfs count="398">
    <xf numFmtId="0" fontId="0" fillId="0" borderId="0" xfId="0"/>
    <xf numFmtId="0" fontId="0" fillId="0" borderId="1" xfId="0" applyBorder="1"/>
    <xf numFmtId="0" fontId="2" fillId="0" borderId="0" xfId="0" applyFont="1"/>
    <xf numFmtId="10" fontId="0" fillId="0" borderId="1" xfId="0" applyNumberFormat="1" applyBorder="1" applyAlignment="1">
      <alignment horizontal="center"/>
    </xf>
    <xf numFmtId="0" fontId="7" fillId="0" borderId="0" xfId="0" applyFont="1"/>
    <xf numFmtId="0" fontId="8" fillId="0" borderId="0" xfId="0" applyFont="1"/>
    <xf numFmtId="0" fontId="10" fillId="0" borderId="0" xfId="0" applyFont="1"/>
    <xf numFmtId="0" fontId="11" fillId="0" borderId="0" xfId="0" applyFont="1"/>
    <xf numFmtId="0" fontId="12" fillId="0" borderId="0" xfId="0" applyFont="1"/>
    <xf numFmtId="44" fontId="12" fillId="2" borderId="1" xfId="2" applyFont="1" applyFill="1" applyBorder="1"/>
    <xf numFmtId="10" fontId="12" fillId="2" borderId="1" xfId="3" applyNumberFormat="1" applyFont="1" applyFill="1" applyBorder="1"/>
    <xf numFmtId="10" fontId="12" fillId="2" borderId="1" xfId="0" applyNumberFormat="1" applyFont="1" applyFill="1" applyBorder="1"/>
    <xf numFmtId="2" fontId="12" fillId="2" borderId="1" xfId="0" applyNumberFormat="1" applyFont="1" applyFill="1" applyBorder="1"/>
    <xf numFmtId="4" fontId="12" fillId="2" borderId="1" xfId="0" applyNumberFormat="1" applyFont="1" applyFill="1" applyBorder="1"/>
    <xf numFmtId="0" fontId="13" fillId="0" borderId="0" xfId="0" applyFont="1"/>
    <xf numFmtId="0" fontId="14" fillId="0" borderId="0" xfId="0" applyFont="1"/>
    <xf numFmtId="0" fontId="15" fillId="0" borderId="0" xfId="0" applyFont="1"/>
    <xf numFmtId="0" fontId="16" fillId="0" borderId="0" xfId="0" applyFont="1"/>
    <xf numFmtId="0" fontId="16" fillId="0" borderId="1" xfId="0" applyFont="1" applyBorder="1"/>
    <xf numFmtId="0" fontId="12" fillId="0" borderId="1" xfId="0" applyFont="1" applyBorder="1"/>
    <xf numFmtId="10" fontId="16" fillId="0" borderId="0" xfId="0" applyNumberFormat="1" applyFont="1"/>
    <xf numFmtId="3" fontId="12" fillId="0" borderId="1" xfId="0" applyNumberFormat="1" applyFont="1" applyBorder="1"/>
    <xf numFmtId="10" fontId="16" fillId="0" borderId="1" xfId="0" applyNumberFormat="1" applyFont="1" applyBorder="1"/>
    <xf numFmtId="165" fontId="16" fillId="0" borderId="1" xfId="1" applyNumberFormat="1" applyFont="1" applyBorder="1"/>
    <xf numFmtId="10" fontId="12" fillId="0" borderId="1" xfId="0" applyNumberFormat="1" applyFont="1" applyBorder="1"/>
    <xf numFmtId="44" fontId="12" fillId="0" borderId="2" xfId="2" applyFont="1" applyBorder="1"/>
    <xf numFmtId="44" fontId="12" fillId="0" borderId="0" xfId="2" applyFont="1"/>
    <xf numFmtId="8" fontId="12" fillId="0" borderId="2" xfId="0" applyNumberFormat="1" applyFont="1" applyBorder="1"/>
    <xf numFmtId="44" fontId="12" fillId="2" borderId="1" xfId="0" applyNumberFormat="1" applyFont="1" applyFill="1" applyBorder="1"/>
    <xf numFmtId="0" fontId="10" fillId="0" borderId="0" xfId="0" applyFont="1" applyAlignment="1">
      <alignment horizontal="centerContinuous"/>
    </xf>
    <xf numFmtId="0" fontId="12" fillId="0" borderId="1" xfId="0" applyFont="1" applyBorder="1" applyAlignment="1">
      <alignment horizontal="center"/>
    </xf>
    <xf numFmtId="0" fontId="19" fillId="0" borderId="0" xfId="0" applyFont="1"/>
    <xf numFmtId="0" fontId="12" fillId="0" borderId="2" xfId="0" applyFont="1" applyBorder="1"/>
    <xf numFmtId="44" fontId="12" fillId="3" borderId="1" xfId="2" applyFont="1" applyFill="1" applyBorder="1"/>
    <xf numFmtId="44" fontId="12" fillId="0" borderId="0" xfId="2" applyFont="1" applyBorder="1"/>
    <xf numFmtId="0" fontId="12" fillId="2" borderId="1" xfId="0" applyFont="1" applyFill="1" applyBorder="1" applyAlignment="1">
      <alignment horizontal="center"/>
    </xf>
    <xf numFmtId="0" fontId="12" fillId="0" borderId="3" xfId="0" applyFont="1" applyBorder="1"/>
    <xf numFmtId="44" fontId="12" fillId="2" borderId="3" xfId="0" applyNumberFormat="1" applyFont="1" applyFill="1" applyBorder="1"/>
    <xf numFmtId="44" fontId="12" fillId="2" borderId="3" xfId="2" applyFont="1" applyFill="1" applyBorder="1"/>
    <xf numFmtId="0" fontId="12" fillId="2" borderId="2" xfId="0" applyFont="1" applyFill="1" applyBorder="1"/>
    <xf numFmtId="44" fontId="12" fillId="2" borderId="2" xfId="0" applyNumberFormat="1" applyFont="1" applyFill="1" applyBorder="1"/>
    <xf numFmtId="44" fontId="12" fillId="2" borderId="4" xfId="0" applyNumberFormat="1" applyFont="1" applyFill="1" applyBorder="1"/>
    <xf numFmtId="0" fontId="21" fillId="0" borderId="5" xfId="0" applyFont="1" applyBorder="1" applyAlignment="1">
      <alignment horizontal="center"/>
    </xf>
    <xf numFmtId="0" fontId="21" fillId="0" borderId="1" xfId="0" applyFont="1" applyBorder="1" applyAlignment="1">
      <alignment horizontal="center"/>
    </xf>
    <xf numFmtId="0" fontId="22" fillId="0" borderId="1" xfId="0" applyFont="1" applyBorder="1"/>
    <xf numFmtId="0" fontId="22" fillId="0" borderId="0" xfId="0" applyFont="1"/>
    <xf numFmtId="0" fontId="23" fillId="0" borderId="1" xfId="0" applyFont="1" applyBorder="1"/>
    <xf numFmtId="0" fontId="22" fillId="0" borderId="0" xfId="0" applyFont="1" applyAlignment="1">
      <alignment horizontal="center"/>
    </xf>
    <xf numFmtId="0" fontId="24" fillId="0" borderId="0" xfId="0" applyFont="1"/>
    <xf numFmtId="0" fontId="25" fillId="0" borderId="6" xfId="0" applyFont="1" applyBorder="1"/>
    <xf numFmtId="0" fontId="25" fillId="0" borderId="7" xfId="0" applyFont="1" applyBorder="1"/>
    <xf numFmtId="0" fontId="25" fillId="0" borderId="0" xfId="0" applyFont="1"/>
    <xf numFmtId="0" fontId="25" fillId="0" borderId="8" xfId="0" applyFont="1" applyBorder="1"/>
    <xf numFmtId="0" fontId="25" fillId="0" borderId="9" xfId="0" applyFont="1" applyBorder="1"/>
    <xf numFmtId="0" fontId="25" fillId="0" borderId="1" xfId="0" applyFont="1" applyBorder="1"/>
    <xf numFmtId="0" fontId="43" fillId="0" borderId="0" xfId="0" applyFont="1"/>
    <xf numFmtId="10" fontId="25" fillId="4" borderId="1" xfId="2" applyNumberFormat="1" applyFont="1" applyFill="1" applyBorder="1" applyAlignment="1">
      <alignment horizontal="center"/>
    </xf>
    <xf numFmtId="44" fontId="25" fillId="0" borderId="0" xfId="2" applyFont="1" applyFill="1" applyBorder="1" applyAlignment="1">
      <alignment horizontal="center"/>
    </xf>
    <xf numFmtId="10" fontId="25" fillId="4" borderId="1" xfId="0" applyNumberFormat="1" applyFont="1" applyFill="1" applyBorder="1" applyAlignment="1">
      <alignment horizontal="center"/>
    </xf>
    <xf numFmtId="2" fontId="25" fillId="4" borderId="1" xfId="0" applyNumberFormat="1" applyFont="1" applyFill="1" applyBorder="1" applyAlignment="1">
      <alignment horizontal="center"/>
    </xf>
    <xf numFmtId="10" fontId="25" fillId="0" borderId="0" xfId="0" applyNumberFormat="1" applyFont="1"/>
    <xf numFmtId="10" fontId="25" fillId="5" borderId="0" xfId="0" applyNumberFormat="1" applyFont="1" applyFill="1" applyAlignment="1">
      <alignment horizontal="center"/>
    </xf>
    <xf numFmtId="164" fontId="25" fillId="4" borderId="1" xfId="0" applyNumberFormat="1" applyFont="1" applyFill="1" applyBorder="1" applyAlignment="1">
      <alignment horizontal="center"/>
    </xf>
    <xf numFmtId="10" fontId="25" fillId="0" borderId="0" xfId="0" applyNumberFormat="1" applyFont="1" applyAlignment="1">
      <alignment horizontal="center"/>
    </xf>
    <xf numFmtId="0" fontId="27" fillId="0" borderId="0" xfId="0" applyFont="1"/>
    <xf numFmtId="0" fontId="25" fillId="4" borderId="1" xfId="0" applyFont="1" applyFill="1" applyBorder="1" applyAlignment="1">
      <alignment horizontal="center"/>
    </xf>
    <xf numFmtId="9" fontId="25" fillId="4" borderId="1" xfId="0" applyNumberFormat="1" applyFont="1" applyFill="1" applyBorder="1" applyAlignment="1">
      <alignment horizontal="center"/>
    </xf>
    <xf numFmtId="9" fontId="25" fillId="5" borderId="0" xfId="0" applyNumberFormat="1" applyFont="1" applyFill="1" applyAlignment="1">
      <alignment horizontal="center"/>
    </xf>
    <xf numFmtId="0" fontId="8" fillId="0" borderId="0" xfId="0" applyFont="1" applyAlignment="1">
      <alignment horizontal="left"/>
    </xf>
    <xf numFmtId="10" fontId="12" fillId="4" borderId="2" xfId="0" applyNumberFormat="1" applyFont="1" applyFill="1" applyBorder="1" applyAlignment="1">
      <alignment horizontal="center"/>
    </xf>
    <xf numFmtId="8" fontId="12" fillId="2" borderId="2" xfId="0" applyNumberFormat="1" applyFont="1" applyFill="1" applyBorder="1"/>
    <xf numFmtId="0" fontId="26" fillId="5" borderId="0" xfId="0" applyFont="1" applyFill="1"/>
    <xf numFmtId="0" fontId="27" fillId="5" borderId="0" xfId="0" applyFont="1" applyFill="1"/>
    <xf numFmtId="44" fontId="25" fillId="4" borderId="1" xfId="2" applyFont="1" applyFill="1" applyBorder="1" applyAlignment="1">
      <alignment horizontal="center"/>
    </xf>
    <xf numFmtId="0" fontId="24" fillId="0" borderId="10" xfId="0" applyFont="1" applyBorder="1"/>
    <xf numFmtId="0" fontId="25" fillId="0" borderId="11" xfId="0" applyFont="1" applyBorder="1"/>
    <xf numFmtId="0" fontId="25" fillId="0" borderId="12" xfId="0" applyFont="1" applyBorder="1"/>
    <xf numFmtId="0" fontId="22" fillId="6" borderId="1" xfId="0" applyFont="1" applyFill="1" applyBorder="1"/>
    <xf numFmtId="10" fontId="22" fillId="6" borderId="1" xfId="3" applyNumberFormat="1" applyFont="1" applyFill="1" applyBorder="1" applyAlignment="1">
      <alignment horizontal="center"/>
    </xf>
    <xf numFmtId="44" fontId="22" fillId="6" borderId="1" xfId="2" applyFont="1" applyFill="1" applyBorder="1"/>
    <xf numFmtId="10" fontId="22" fillId="6" borderId="1" xfId="3" applyNumberFormat="1" applyFont="1" applyFill="1" applyBorder="1"/>
    <xf numFmtId="10" fontId="22" fillId="6" borderId="1" xfId="2" applyNumberFormat="1" applyFont="1" applyFill="1" applyBorder="1"/>
    <xf numFmtId="10" fontId="22" fillId="6" borderId="1" xfId="2" applyNumberFormat="1" applyFont="1" applyFill="1" applyBorder="1" applyAlignment="1">
      <alignment horizontal="center"/>
    </xf>
    <xf numFmtId="0" fontId="22" fillId="6" borderId="1" xfId="0" applyFont="1" applyFill="1" applyBorder="1" applyAlignment="1">
      <alignment horizontal="center"/>
    </xf>
    <xf numFmtId="44" fontId="22" fillId="6" borderId="1" xfId="0" applyNumberFormat="1" applyFont="1" applyFill="1" applyBorder="1"/>
    <xf numFmtId="10" fontId="22" fillId="6" borderId="1" xfId="0" applyNumberFormat="1" applyFont="1" applyFill="1" applyBorder="1"/>
    <xf numFmtId="164" fontId="22" fillId="6" borderId="1" xfId="0" applyNumberFormat="1" applyFont="1" applyFill="1" applyBorder="1"/>
    <xf numFmtId="8" fontId="22" fillId="6" borderId="1" xfId="0" applyNumberFormat="1" applyFont="1" applyFill="1" applyBorder="1"/>
    <xf numFmtId="43" fontId="22" fillId="6" borderId="1" xfId="1" applyFont="1" applyFill="1" applyBorder="1"/>
    <xf numFmtId="44" fontId="44" fillId="6" borderId="1" xfId="2" applyFont="1" applyFill="1" applyBorder="1"/>
    <xf numFmtId="2" fontId="22" fillId="6" borderId="1" xfId="0" applyNumberFormat="1" applyFont="1" applyFill="1" applyBorder="1" applyAlignment="1">
      <alignment horizontal="center"/>
    </xf>
    <xf numFmtId="168" fontId="22" fillId="6" borderId="1" xfId="0" applyNumberFormat="1" applyFont="1" applyFill="1" applyBorder="1"/>
    <xf numFmtId="168" fontId="22" fillId="6" borderId="1" xfId="0" applyNumberFormat="1" applyFont="1" applyFill="1" applyBorder="1" applyAlignment="1">
      <alignment horizontal="center"/>
    </xf>
    <xf numFmtId="0" fontId="28" fillId="0" borderId="0" xfId="0" applyFont="1"/>
    <xf numFmtId="0" fontId="12" fillId="3" borderId="1" xfId="0" applyFont="1" applyFill="1" applyBorder="1"/>
    <xf numFmtId="0" fontId="14" fillId="0" borderId="0" xfId="0" applyFont="1" applyAlignment="1">
      <alignment horizontal="center"/>
    </xf>
    <xf numFmtId="0" fontId="14" fillId="0" borderId="1" xfId="0" applyFont="1" applyBorder="1" applyAlignment="1">
      <alignment horizontal="center"/>
    </xf>
    <xf numFmtId="2" fontId="12" fillId="6" borderId="1" xfId="0" applyNumberFormat="1" applyFont="1" applyFill="1" applyBorder="1"/>
    <xf numFmtId="44" fontId="12" fillId="6" borderId="1" xfId="0" applyNumberFormat="1" applyFont="1" applyFill="1" applyBorder="1"/>
    <xf numFmtId="44" fontId="12" fillId="6" borderId="1" xfId="2" applyFont="1" applyFill="1" applyBorder="1"/>
    <xf numFmtId="10" fontId="12" fillId="6" borderId="1" xfId="3" applyNumberFormat="1" applyFont="1" applyFill="1" applyBorder="1"/>
    <xf numFmtId="10" fontId="12" fillId="6" borderId="3" xfId="0" applyNumberFormat="1" applyFont="1" applyFill="1" applyBorder="1"/>
    <xf numFmtId="10" fontId="12" fillId="6" borderId="1" xfId="0" applyNumberFormat="1" applyFont="1" applyFill="1" applyBorder="1"/>
    <xf numFmtId="10" fontId="12" fillId="6" borderId="13" xfId="3" applyNumberFormat="1" applyFont="1" applyFill="1" applyBorder="1"/>
    <xf numFmtId="10" fontId="12" fillId="6" borderId="2" xfId="3" applyNumberFormat="1" applyFont="1" applyFill="1" applyBorder="1"/>
    <xf numFmtId="2" fontId="12" fillId="6" borderId="1" xfId="2" applyNumberFormat="1" applyFont="1" applyFill="1" applyBorder="1"/>
    <xf numFmtId="0" fontId="29" fillId="0" borderId="0" xfId="0" applyFont="1"/>
    <xf numFmtId="0" fontId="30" fillId="0" borderId="0" xfId="0" applyFont="1"/>
    <xf numFmtId="0" fontId="20" fillId="0" borderId="0" xfId="0" applyFont="1"/>
    <xf numFmtId="0" fontId="12" fillId="3" borderId="1" xfId="0" applyFont="1" applyFill="1" applyBorder="1" applyAlignment="1">
      <alignment horizontal="center"/>
    </xf>
    <xf numFmtId="10" fontId="16" fillId="0" borderId="0" xfId="0" applyNumberFormat="1" applyFont="1" applyAlignment="1">
      <alignment horizontal="center"/>
    </xf>
    <xf numFmtId="10" fontId="13" fillId="0" borderId="0" xfId="0" applyNumberFormat="1" applyFont="1" applyAlignment="1">
      <alignment horizontal="center"/>
    </xf>
    <xf numFmtId="0" fontId="14" fillId="0" borderId="1" xfId="0" applyFont="1" applyBorder="1" applyAlignment="1">
      <alignment horizontal="centerContinuous"/>
    </xf>
    <xf numFmtId="0" fontId="14" fillId="0" borderId="1" xfId="0" applyFont="1" applyBorder="1"/>
    <xf numFmtId="2" fontId="12" fillId="0" borderId="1" xfId="0" applyNumberFormat="1" applyFont="1" applyBorder="1" applyAlignment="1">
      <alignment horizontal="center"/>
    </xf>
    <xf numFmtId="0" fontId="12" fillId="0" borderId="1" xfId="0" applyFont="1" applyBorder="1" applyAlignment="1">
      <alignment horizontal="centerContinuous"/>
    </xf>
    <xf numFmtId="10" fontId="12" fillId="6" borderId="2" xfId="0" applyNumberFormat="1" applyFont="1" applyFill="1" applyBorder="1"/>
    <xf numFmtId="2" fontId="16" fillId="6" borderId="2" xfId="0" applyNumberFormat="1" applyFont="1" applyFill="1" applyBorder="1" applyAlignment="1">
      <alignment horizontal="center"/>
    </xf>
    <xf numFmtId="0" fontId="31" fillId="6" borderId="4" xfId="0" applyFont="1" applyFill="1" applyBorder="1" applyAlignment="1">
      <alignment horizontal="center"/>
    </xf>
    <xf numFmtId="10" fontId="16" fillId="6" borderId="2" xfId="3" applyNumberFormat="1" applyFont="1" applyFill="1" applyBorder="1" applyAlignment="1">
      <alignment horizontal="center"/>
    </xf>
    <xf numFmtId="10" fontId="16" fillId="6" borderId="2" xfId="0" applyNumberFormat="1" applyFont="1" applyFill="1" applyBorder="1" applyAlignment="1">
      <alignment horizontal="center"/>
    </xf>
    <xf numFmtId="0" fontId="33" fillId="0" borderId="0" xfId="0" applyFont="1"/>
    <xf numFmtId="0" fontId="7" fillId="5" borderId="0" xfId="0" applyFont="1" applyFill="1"/>
    <xf numFmtId="0" fontId="32" fillId="6" borderId="1" xfId="0" applyFont="1" applyFill="1" applyBorder="1"/>
    <xf numFmtId="0" fontId="33" fillId="6" borderId="1" xfId="0" applyFont="1" applyFill="1" applyBorder="1"/>
    <xf numFmtId="44" fontId="33" fillId="6" borderId="1" xfId="2" applyFont="1" applyFill="1" applyBorder="1"/>
    <xf numFmtId="10" fontId="33" fillId="6" borderId="1" xfId="0" applyNumberFormat="1" applyFont="1" applyFill="1" applyBorder="1"/>
    <xf numFmtId="0" fontId="33" fillId="6" borderId="3" xfId="0" applyFont="1" applyFill="1" applyBorder="1"/>
    <xf numFmtId="10" fontId="33" fillId="6" borderId="3" xfId="0" applyNumberFormat="1" applyFont="1" applyFill="1" applyBorder="1" applyAlignment="1">
      <alignment horizontal="right"/>
    </xf>
    <xf numFmtId="0" fontId="33" fillId="0" borderId="10" xfId="0" applyFont="1" applyBorder="1"/>
    <xf numFmtId="169" fontId="22" fillId="6" borderId="1" xfId="0" applyNumberFormat="1" applyFont="1" applyFill="1" applyBorder="1" applyAlignment="1">
      <alignment horizontal="center"/>
    </xf>
    <xf numFmtId="0" fontId="22" fillId="0" borderId="0" xfId="0" applyFont="1" applyAlignment="1">
      <alignment horizontal="left"/>
    </xf>
    <xf numFmtId="0" fontId="24" fillId="0" borderId="11" xfId="0" applyFont="1" applyBorder="1"/>
    <xf numFmtId="0" fontId="25" fillId="4" borderId="1" xfId="0" applyFont="1" applyFill="1" applyBorder="1"/>
    <xf numFmtId="2" fontId="25" fillId="4" borderId="14" xfId="2" applyNumberFormat="1" applyFont="1" applyFill="1" applyBorder="1" applyAlignment="1">
      <alignment horizontal="center"/>
    </xf>
    <xf numFmtId="0" fontId="0" fillId="0" borderId="1" xfId="0" applyBorder="1" applyAlignment="1">
      <alignment horizontal="center"/>
    </xf>
    <xf numFmtId="0" fontId="12" fillId="4" borderId="1" xfId="0" applyFont="1" applyFill="1" applyBorder="1"/>
    <xf numFmtId="0" fontId="12" fillId="6" borderId="1" xfId="0" applyFont="1" applyFill="1" applyBorder="1"/>
    <xf numFmtId="0" fontId="13" fillId="0" borderId="1" xfId="0" applyFont="1" applyBorder="1"/>
    <xf numFmtId="167" fontId="12" fillId="6" borderId="1" xfId="3" applyNumberFormat="1" applyFont="1" applyFill="1" applyBorder="1"/>
    <xf numFmtId="167" fontId="12" fillId="6" borderId="1" xfId="0" applyNumberFormat="1" applyFont="1" applyFill="1" applyBorder="1"/>
    <xf numFmtId="2" fontId="12" fillId="3" borderId="1" xfId="0" applyNumberFormat="1" applyFont="1" applyFill="1" applyBorder="1"/>
    <xf numFmtId="10" fontId="25" fillId="5" borderId="0" xfId="3" applyNumberFormat="1" applyFont="1" applyFill="1" applyBorder="1"/>
    <xf numFmtId="0" fontId="25" fillId="0" borderId="15" xfId="0" applyFont="1" applyBorder="1"/>
    <xf numFmtId="0" fontId="7" fillId="0" borderId="16" xfId="0" applyFont="1" applyBorder="1"/>
    <xf numFmtId="0" fontId="7" fillId="0" borderId="17" xfId="0" applyFont="1" applyBorder="1"/>
    <xf numFmtId="44" fontId="25" fillId="4" borderId="14" xfId="2" applyFont="1" applyFill="1" applyBorder="1" applyAlignment="1">
      <alignment horizontal="center"/>
    </xf>
    <xf numFmtId="171" fontId="12" fillId="4" borderId="1" xfId="2" applyNumberFormat="1" applyFont="1" applyFill="1" applyBorder="1"/>
    <xf numFmtId="169" fontId="12" fillId="6" borderId="1" xfId="0" applyNumberFormat="1" applyFont="1" applyFill="1" applyBorder="1"/>
    <xf numFmtId="171" fontId="12" fillId="6" borderId="1" xfId="0" applyNumberFormat="1" applyFont="1" applyFill="1" applyBorder="1"/>
    <xf numFmtId="0" fontId="0" fillId="6" borderId="1" xfId="0" applyFill="1" applyBorder="1"/>
    <xf numFmtId="171" fontId="3" fillId="6" borderId="1" xfId="2" applyNumberFormat="1" applyFont="1" applyFill="1" applyBorder="1"/>
    <xf numFmtId="169" fontId="0" fillId="6" borderId="1" xfId="0" applyNumberFormat="1" applyFill="1" applyBorder="1"/>
    <xf numFmtId="0" fontId="0" fillId="0" borderId="0" xfId="0" applyAlignment="1">
      <alignment horizontal="center"/>
    </xf>
    <xf numFmtId="10" fontId="0" fillId="0" borderId="1" xfId="3" applyNumberFormat="1" applyFont="1" applyBorder="1" applyAlignment="1">
      <alignment horizontal="center"/>
    </xf>
    <xf numFmtId="164" fontId="0" fillId="4" borderId="1" xfId="0" applyNumberFormat="1" applyFill="1" applyBorder="1" applyAlignment="1">
      <alignment horizontal="center"/>
    </xf>
    <xf numFmtId="2" fontId="34" fillId="0" borderId="1" xfId="0" applyNumberFormat="1" applyFont="1" applyBorder="1" applyAlignment="1">
      <alignment horizontal="center"/>
    </xf>
    <xf numFmtId="2" fontId="34" fillId="0" borderId="0" xfId="0" applyNumberFormat="1" applyFont="1"/>
    <xf numFmtId="2" fontId="12" fillId="0" borderId="0" xfId="0" applyNumberFormat="1" applyFont="1"/>
    <xf numFmtId="1" fontId="34" fillId="0" borderId="1" xfId="0" applyNumberFormat="1" applyFont="1" applyBorder="1" applyAlignment="1">
      <alignment horizontal="center"/>
    </xf>
    <xf numFmtId="2" fontId="34" fillId="3" borderId="1" xfId="0" applyNumberFormat="1" applyFont="1" applyFill="1" applyBorder="1" applyAlignment="1">
      <alignment horizontal="center"/>
    </xf>
    <xf numFmtId="2" fontId="35" fillId="0" borderId="0" xfId="0" applyNumberFormat="1" applyFont="1"/>
    <xf numFmtId="2" fontId="34" fillId="0" borderId="13" xfId="0" applyNumberFormat="1" applyFont="1" applyBorder="1" applyAlignment="1">
      <alignment horizontal="centerContinuous"/>
    </xf>
    <xf numFmtId="2" fontId="34" fillId="0" borderId="18" xfId="0" applyNumberFormat="1" applyFont="1" applyBorder="1" applyAlignment="1">
      <alignment horizontal="centerContinuous"/>
    </xf>
    <xf numFmtId="44" fontId="34" fillId="0" borderId="1" xfId="2" applyFont="1" applyBorder="1"/>
    <xf numFmtId="2" fontId="34" fillId="0" borderId="3" xfId="0" applyNumberFormat="1" applyFont="1" applyBorder="1" applyAlignment="1">
      <alignment horizontal="center"/>
    </xf>
    <xf numFmtId="44" fontId="34" fillId="0" borderId="3" xfId="2" applyFont="1" applyBorder="1"/>
    <xf numFmtId="164" fontId="12" fillId="0" borderId="2" xfId="0" applyNumberFormat="1" applyFont="1" applyBorder="1"/>
    <xf numFmtId="164" fontId="12" fillId="0" borderId="19" xfId="0" applyNumberFormat="1" applyFont="1" applyBorder="1"/>
    <xf numFmtId="6" fontId="12" fillId="0" borderId="1" xfId="2" applyNumberFormat="1" applyFont="1" applyBorder="1"/>
    <xf numFmtId="44" fontId="25" fillId="8" borderId="18" xfId="0" applyNumberFormat="1" applyFont="1" applyFill="1" applyBorder="1" applyAlignment="1">
      <alignment horizontal="center"/>
    </xf>
    <xf numFmtId="44" fontId="43" fillId="9" borderId="18" xfId="0" applyNumberFormat="1" applyFont="1" applyFill="1" applyBorder="1" applyAlignment="1">
      <alignment horizontal="left"/>
    </xf>
    <xf numFmtId="164" fontId="0" fillId="0" borderId="1" xfId="0" applyNumberFormat="1" applyBorder="1" applyAlignment="1">
      <alignment horizontal="center"/>
    </xf>
    <xf numFmtId="164" fontId="0" fillId="0" borderId="1" xfId="0" applyNumberFormat="1" applyBorder="1"/>
    <xf numFmtId="164" fontId="0" fillId="0" borderId="1" xfId="3" applyNumberFormat="1" applyFont="1" applyBorder="1" applyAlignment="1">
      <alignment horizontal="center"/>
    </xf>
    <xf numFmtId="164" fontId="0" fillId="0" borderId="0" xfId="0" applyNumberFormat="1" applyAlignment="1">
      <alignment horizontal="center"/>
    </xf>
    <xf numFmtId="164" fontId="0" fillId="0" borderId="0" xfId="0" applyNumberFormat="1"/>
    <xf numFmtId="164" fontId="12" fillId="6" borderId="2" xfId="0" applyNumberFormat="1" applyFont="1" applyFill="1" applyBorder="1"/>
    <xf numFmtId="0" fontId="27" fillId="0" borderId="11" xfId="0" applyFont="1" applyBorder="1"/>
    <xf numFmtId="0" fontId="36" fillId="0" borderId="0" xfId="0" applyFont="1"/>
    <xf numFmtId="0" fontId="25" fillId="0" borderId="20" xfId="0" applyFont="1" applyBorder="1"/>
    <xf numFmtId="0" fontId="25" fillId="0" borderId="21" xfId="0" applyFont="1" applyBorder="1"/>
    <xf numFmtId="0" fontId="16" fillId="5" borderId="22" xfId="0" applyFont="1" applyFill="1" applyBorder="1" applyAlignment="1">
      <alignment vertical="center" wrapText="1"/>
    </xf>
    <xf numFmtId="0" fontId="13" fillId="5" borderId="14" xfId="0" applyFont="1" applyFill="1" applyBorder="1" applyAlignment="1">
      <alignment horizontal="center" vertical="center" wrapText="1"/>
    </xf>
    <xf numFmtId="0" fontId="13" fillId="5" borderId="23" xfId="0" applyFont="1" applyFill="1" applyBorder="1" applyAlignment="1">
      <alignment horizontal="center" vertical="center" wrapText="1"/>
    </xf>
    <xf numFmtId="0" fontId="12" fillId="6" borderId="1" xfId="0" applyFont="1" applyFill="1" applyBorder="1" applyAlignment="1">
      <alignment horizontal="left" vertical="center" wrapText="1"/>
    </xf>
    <xf numFmtId="0" fontId="12" fillId="6" borderId="24" xfId="0" applyFont="1" applyFill="1" applyBorder="1" applyAlignment="1">
      <alignment horizontal="left" vertical="center" wrapText="1"/>
    </xf>
    <xf numFmtId="9" fontId="12" fillId="6" borderId="1" xfId="3" applyFont="1" applyFill="1" applyBorder="1" applyAlignment="1">
      <alignment horizontal="left" vertical="center" wrapText="1"/>
    </xf>
    <xf numFmtId="0" fontId="12" fillId="6" borderId="24" xfId="0" applyFont="1" applyFill="1" applyBorder="1" applyAlignment="1">
      <alignment horizontal="left" vertical="center"/>
    </xf>
    <xf numFmtId="0" fontId="12" fillId="6" borderId="1" xfId="0" applyFont="1" applyFill="1" applyBorder="1" applyAlignment="1">
      <alignment horizontal="left"/>
    </xf>
    <xf numFmtId="0" fontId="12" fillId="6" borderId="24" xfId="0" applyFont="1" applyFill="1" applyBorder="1" applyAlignment="1">
      <alignment horizontal="left"/>
    </xf>
    <xf numFmtId="10" fontId="12" fillId="6" borderId="25" xfId="3" applyNumberFormat="1" applyFont="1" applyFill="1" applyBorder="1" applyAlignment="1">
      <alignment horizontal="left"/>
    </xf>
    <xf numFmtId="0" fontId="12" fillId="6" borderId="26" xfId="0" applyFont="1" applyFill="1" applyBorder="1" applyAlignment="1">
      <alignment horizontal="left"/>
    </xf>
    <xf numFmtId="0" fontId="12" fillId="5" borderId="22" xfId="0" applyFont="1" applyFill="1" applyBorder="1" applyAlignment="1">
      <alignment vertical="center"/>
    </xf>
    <xf numFmtId="0" fontId="12" fillId="5" borderId="27" xfId="0" applyFont="1" applyFill="1" applyBorder="1"/>
    <xf numFmtId="0" fontId="12" fillId="5" borderId="28" xfId="0" applyFont="1" applyFill="1" applyBorder="1"/>
    <xf numFmtId="164" fontId="2" fillId="0" borderId="0" xfId="0" applyNumberFormat="1" applyFont="1" applyAlignment="1">
      <alignment horizontal="center"/>
    </xf>
    <xf numFmtId="164" fontId="2" fillId="0" borderId="0" xfId="0" applyNumberFormat="1" applyFont="1"/>
    <xf numFmtId="17" fontId="24" fillId="4" borderId="1" xfId="0" applyNumberFormat="1" applyFont="1" applyFill="1" applyBorder="1" applyAlignment="1">
      <alignment horizontal="center"/>
    </xf>
    <xf numFmtId="0" fontId="45" fillId="4" borderId="1" xfId="0" applyFont="1" applyFill="1" applyBorder="1" applyAlignment="1">
      <alignment horizontal="center"/>
    </xf>
    <xf numFmtId="10" fontId="12" fillId="4" borderId="1" xfId="0" applyNumberFormat="1" applyFont="1" applyFill="1" applyBorder="1" applyAlignment="1">
      <alignment horizontal="center"/>
    </xf>
    <xf numFmtId="10" fontId="12" fillId="6" borderId="1" xfId="0" applyNumberFormat="1" applyFont="1" applyFill="1" applyBorder="1" applyAlignment="1">
      <alignment horizontal="center"/>
    </xf>
    <xf numFmtId="166" fontId="12" fillId="3" borderId="1" xfId="0" applyNumberFormat="1" applyFont="1" applyFill="1" applyBorder="1"/>
    <xf numFmtId="0" fontId="46" fillId="0" borderId="1" xfId="0" applyFont="1" applyBorder="1" applyAlignment="1">
      <alignment horizontal="center"/>
    </xf>
    <xf numFmtId="9" fontId="12" fillId="6" borderId="1" xfId="0" applyNumberFormat="1" applyFont="1" applyFill="1" applyBorder="1" applyAlignment="1">
      <alignment horizontal="center"/>
    </xf>
    <xf numFmtId="0" fontId="12" fillId="6" borderId="2" xfId="0" applyFont="1" applyFill="1" applyBorder="1" applyAlignment="1">
      <alignment horizontal="center"/>
    </xf>
    <xf numFmtId="0" fontId="37" fillId="0" borderId="0" xfId="0" applyFont="1"/>
    <xf numFmtId="2" fontId="12" fillId="4" borderId="1" xfId="0" applyNumberFormat="1" applyFont="1" applyFill="1" applyBorder="1"/>
    <xf numFmtId="0" fontId="28" fillId="0" borderId="0" xfId="0" applyFont="1" applyAlignment="1">
      <alignment horizontal="left"/>
    </xf>
    <xf numFmtId="164" fontId="0" fillId="6" borderId="1" xfId="0" applyNumberFormat="1" applyFill="1" applyBorder="1"/>
    <xf numFmtId="0" fontId="2" fillId="0" borderId="1" xfId="0" applyFont="1" applyBorder="1" applyAlignment="1">
      <alignment horizontal="center" wrapText="1"/>
    </xf>
    <xf numFmtId="0" fontId="13" fillId="5" borderId="0" xfId="0" applyFont="1" applyFill="1"/>
    <xf numFmtId="0" fontId="37" fillId="5" borderId="0" xfId="0" applyFont="1" applyFill="1"/>
    <xf numFmtId="0" fontId="27" fillId="0" borderId="1" xfId="0" applyFont="1" applyBorder="1"/>
    <xf numFmtId="0" fontId="27" fillId="0" borderId="8" xfId="0" applyFont="1" applyBorder="1"/>
    <xf numFmtId="0" fontId="25" fillId="0" borderId="29" xfId="0" applyFont="1" applyBorder="1"/>
    <xf numFmtId="0" fontId="41" fillId="0" borderId="0" xfId="0" applyFont="1"/>
    <xf numFmtId="0" fontId="7" fillId="4" borderId="1" xfId="0" applyFont="1" applyFill="1" applyBorder="1" applyAlignment="1">
      <alignment horizontal="center"/>
    </xf>
    <xf numFmtId="9" fontId="7" fillId="4" borderId="1" xfId="0" applyNumberFormat="1" applyFont="1" applyFill="1" applyBorder="1" applyAlignment="1">
      <alignment horizontal="center"/>
    </xf>
    <xf numFmtId="10" fontId="25" fillId="4" borderId="1" xfId="3" applyNumberFormat="1" applyFont="1" applyFill="1" applyBorder="1" applyAlignment="1">
      <alignment horizontal="center"/>
    </xf>
    <xf numFmtId="164" fontId="25" fillId="0" borderId="0" xfId="0" applyNumberFormat="1" applyFont="1" applyAlignment="1">
      <alignment horizontal="center"/>
    </xf>
    <xf numFmtId="2" fontId="25" fillId="0" borderId="0" xfId="0" applyNumberFormat="1" applyFont="1" applyAlignment="1">
      <alignment horizontal="center"/>
    </xf>
    <xf numFmtId="168" fontId="25" fillId="10" borderId="1" xfId="0" applyNumberFormat="1" applyFont="1" applyFill="1" applyBorder="1"/>
    <xf numFmtId="10" fontId="25" fillId="10" borderId="1" xfId="0" applyNumberFormat="1" applyFont="1" applyFill="1" applyBorder="1"/>
    <xf numFmtId="10" fontId="25" fillId="10" borderId="1" xfId="3" applyNumberFormat="1" applyFont="1" applyFill="1" applyBorder="1"/>
    <xf numFmtId="2" fontId="25" fillId="10" borderId="1" xfId="0" applyNumberFormat="1" applyFont="1" applyFill="1" applyBorder="1"/>
    <xf numFmtId="10" fontId="25" fillId="10" borderId="3" xfId="3" applyNumberFormat="1" applyFont="1" applyFill="1" applyBorder="1"/>
    <xf numFmtId="10" fontId="25" fillId="10" borderId="25" xfId="3" applyNumberFormat="1" applyFont="1" applyFill="1" applyBorder="1"/>
    <xf numFmtId="0" fontId="7" fillId="0" borderId="1" xfId="0" applyFont="1" applyBorder="1"/>
    <xf numFmtId="0" fontId="47" fillId="0" borderId="0" xfId="0" applyFont="1"/>
    <xf numFmtId="10" fontId="48" fillId="0" borderId="1" xfId="3" applyNumberFormat="1" applyFont="1" applyBorder="1" applyAlignment="1">
      <alignment horizontal="center"/>
    </xf>
    <xf numFmtId="0" fontId="48" fillId="0" borderId="0" xfId="0" applyFont="1"/>
    <xf numFmtId="0" fontId="48" fillId="0" borderId="0" xfId="0" applyFont="1" applyAlignment="1">
      <alignment horizontal="left"/>
    </xf>
    <xf numFmtId="0" fontId="38" fillId="0" borderId="1" xfId="0" applyFont="1" applyBorder="1" applyAlignment="1">
      <alignment horizontal="center"/>
    </xf>
    <xf numFmtId="0" fontId="0" fillId="4" borderId="1" xfId="0" applyFill="1" applyBorder="1"/>
    <xf numFmtId="10" fontId="12" fillId="4" borderId="1" xfId="0" applyNumberFormat="1" applyFont="1" applyFill="1" applyBorder="1"/>
    <xf numFmtId="10" fontId="46" fillId="0" borderId="30" xfId="3" applyNumberFormat="1" applyFont="1" applyBorder="1" applyAlignment="1">
      <alignment horizontal="center"/>
    </xf>
    <xf numFmtId="10" fontId="0" fillId="0" borderId="0" xfId="0" applyNumberFormat="1"/>
    <xf numFmtId="44" fontId="3" fillId="4" borderId="1" xfId="2" applyFont="1" applyFill="1" applyBorder="1" applyAlignment="1">
      <alignment horizontal="center"/>
    </xf>
    <xf numFmtId="0" fontId="46" fillId="4" borderId="1" xfId="0" applyFont="1" applyFill="1" applyBorder="1"/>
    <xf numFmtId="170" fontId="38" fillId="0" borderId="0" xfId="0" applyNumberFormat="1" applyFont="1" applyAlignment="1">
      <alignment horizontal="right"/>
    </xf>
    <xf numFmtId="0" fontId="2" fillId="0" borderId="0" xfId="0" applyFont="1" applyAlignment="1">
      <alignment wrapText="1"/>
    </xf>
    <xf numFmtId="10" fontId="0" fillId="4" borderId="1" xfId="0" applyNumberFormat="1" applyFill="1" applyBorder="1"/>
    <xf numFmtId="0" fontId="57" fillId="0" borderId="0" xfId="0" applyFont="1"/>
    <xf numFmtId="0" fontId="2" fillId="0" borderId="1" xfId="0" applyFont="1" applyBorder="1" applyAlignment="1">
      <alignment wrapText="1"/>
    </xf>
    <xf numFmtId="10" fontId="2" fillId="0" borderId="1" xfId="0" applyNumberFormat="1" applyFont="1" applyBorder="1" applyAlignment="1">
      <alignment horizontal="center" wrapText="1"/>
    </xf>
    <xf numFmtId="2" fontId="2" fillId="0" borderId="1" xfId="0" applyNumberFormat="1" applyFont="1" applyBorder="1" applyAlignment="1">
      <alignment horizontal="center" wrapText="1"/>
    </xf>
    <xf numFmtId="0" fontId="33" fillId="0" borderId="0" xfId="0" applyFont="1" applyAlignment="1">
      <alignment horizontal="left"/>
    </xf>
    <xf numFmtId="170" fontId="58" fillId="4" borderId="1" xfId="0" applyNumberFormat="1" applyFont="1" applyFill="1" applyBorder="1" applyAlignment="1">
      <alignment horizontal="right" vertical="top" wrapText="1"/>
    </xf>
    <xf numFmtId="44" fontId="25" fillId="0" borderId="0" xfId="0" applyNumberFormat="1" applyFont="1"/>
    <xf numFmtId="2" fontId="25" fillId="0" borderId="1" xfId="0" applyNumberFormat="1" applyFont="1" applyBorder="1" applyAlignment="1">
      <alignment horizontal="center"/>
    </xf>
    <xf numFmtId="0" fontId="59" fillId="0" borderId="0" xfId="0" applyFont="1"/>
    <xf numFmtId="0" fontId="25" fillId="0" borderId="10" xfId="0" applyFont="1" applyBorder="1"/>
    <xf numFmtId="44" fontId="25" fillId="10" borderId="1" xfId="0" applyNumberFormat="1" applyFont="1" applyFill="1" applyBorder="1"/>
    <xf numFmtId="0" fontId="62" fillId="0" borderId="0" xfId="0" applyFont="1"/>
    <xf numFmtId="0" fontId="21" fillId="0" borderId="13" xfId="0" applyFont="1" applyBorder="1" applyAlignment="1">
      <alignment horizontal="center"/>
    </xf>
    <xf numFmtId="0" fontId="63" fillId="0" borderId="1" xfId="0" applyFont="1" applyBorder="1"/>
    <xf numFmtId="0" fontId="63" fillId="0" borderId="1" xfId="0" applyFont="1" applyBorder="1" applyAlignment="1">
      <alignment horizontal="center"/>
    </xf>
    <xf numFmtId="0" fontId="63" fillId="0" borderId="1" xfId="0" applyFont="1" applyBorder="1" applyAlignment="1">
      <alignment horizontal="center" wrapText="1"/>
    </xf>
    <xf numFmtId="10" fontId="22" fillId="6" borderId="14" xfId="3" applyNumberFormat="1" applyFont="1" applyFill="1" applyBorder="1"/>
    <xf numFmtId="10" fontId="22" fillId="6" borderId="14" xfId="3" applyNumberFormat="1" applyFont="1" applyFill="1" applyBorder="1" applyAlignment="1">
      <alignment horizontal="center"/>
    </xf>
    <xf numFmtId="0" fontId="65" fillId="0" borderId="0" xfId="0" applyFont="1"/>
    <xf numFmtId="44" fontId="64" fillId="13" borderId="1" xfId="2" applyFont="1" applyFill="1" applyBorder="1" applyAlignment="1">
      <alignment horizontal="center"/>
    </xf>
    <xf numFmtId="44" fontId="22" fillId="0" borderId="0" xfId="0" applyNumberFormat="1" applyFont="1" applyAlignment="1">
      <alignment horizontal="center"/>
    </xf>
    <xf numFmtId="0" fontId="64" fillId="13" borderId="0" xfId="0" applyFont="1" applyFill="1"/>
    <xf numFmtId="44" fontId="64" fillId="13" borderId="1" xfId="2" applyFont="1" applyFill="1" applyBorder="1"/>
    <xf numFmtId="0" fontId="64" fillId="13" borderId="33" xfId="0" applyFont="1" applyFill="1" applyBorder="1"/>
    <xf numFmtId="0" fontId="64" fillId="0" borderId="0" xfId="0" applyFont="1" applyAlignment="1">
      <alignment horizontal="center"/>
    </xf>
    <xf numFmtId="0" fontId="64" fillId="0" borderId="0" xfId="0" applyFont="1"/>
    <xf numFmtId="0" fontId="64" fillId="6" borderId="1" xfId="0" applyFont="1" applyFill="1" applyBorder="1"/>
    <xf numFmtId="0" fontId="64" fillId="6" borderId="1" xfId="0" applyFont="1" applyFill="1" applyBorder="1" applyAlignment="1">
      <alignment horizontal="center"/>
    </xf>
    <xf numFmtId="10" fontId="64" fillId="13" borderId="1" xfId="3" applyNumberFormat="1" applyFont="1" applyFill="1" applyBorder="1"/>
    <xf numFmtId="10" fontId="64" fillId="13" borderId="1" xfId="3" applyNumberFormat="1" applyFont="1" applyFill="1" applyBorder="1" applyAlignment="1">
      <alignment horizontal="center"/>
    </xf>
    <xf numFmtId="17" fontId="67" fillId="13" borderId="36" xfId="0" applyNumberFormat="1" applyFont="1" applyFill="1" applyBorder="1"/>
    <xf numFmtId="0" fontId="68" fillId="13" borderId="36" xfId="0" applyFont="1" applyFill="1" applyBorder="1"/>
    <xf numFmtId="0" fontId="69" fillId="13" borderId="36" xfId="0" applyFont="1" applyFill="1" applyBorder="1" applyAlignment="1">
      <alignment horizontal="center"/>
    </xf>
    <xf numFmtId="16" fontId="69" fillId="13" borderId="36" xfId="0" applyNumberFormat="1" applyFont="1" applyFill="1" applyBorder="1" applyAlignment="1">
      <alignment horizontal="center"/>
    </xf>
    <xf numFmtId="168" fontId="68" fillId="13" borderId="36" xfId="2" applyNumberFormat="1" applyFont="1" applyFill="1" applyBorder="1" applyAlignment="1">
      <alignment horizontal="center"/>
    </xf>
    <xf numFmtId="10" fontId="68" fillId="13" borderId="36" xfId="0" applyNumberFormat="1" applyFont="1" applyFill="1" applyBorder="1" applyAlignment="1">
      <alignment horizontal="center"/>
    </xf>
    <xf numFmtId="0" fontId="68" fillId="13" borderId="36" xfId="0" applyFont="1" applyFill="1" applyBorder="1" applyAlignment="1">
      <alignment horizontal="center"/>
    </xf>
    <xf numFmtId="0" fontId="68" fillId="13" borderId="36" xfId="0" applyFont="1" applyFill="1" applyBorder="1" applyAlignment="1">
      <alignment horizontal="left" wrapText="1"/>
    </xf>
    <xf numFmtId="0" fontId="68" fillId="13" borderId="36" xfId="0" applyFont="1" applyFill="1" applyBorder="1" applyAlignment="1">
      <alignment wrapText="1"/>
    </xf>
    <xf numFmtId="2" fontId="68" fillId="13" borderId="36" xfId="0" applyNumberFormat="1" applyFont="1" applyFill="1" applyBorder="1"/>
    <xf numFmtId="2" fontId="68" fillId="13" borderId="36" xfId="0" applyNumberFormat="1" applyFont="1" applyFill="1" applyBorder="1" applyAlignment="1">
      <alignment horizontal="left"/>
    </xf>
    <xf numFmtId="10" fontId="68" fillId="13" borderId="36" xfId="3" applyNumberFormat="1" applyFont="1" applyFill="1" applyBorder="1" applyAlignment="1">
      <alignment horizontal="right"/>
    </xf>
    <xf numFmtId="10" fontId="68" fillId="13" borderId="36" xfId="3" applyNumberFormat="1" applyFont="1" applyFill="1" applyBorder="1" applyAlignment="1">
      <alignment horizontal="center"/>
    </xf>
    <xf numFmtId="10" fontId="68" fillId="13" borderId="36" xfId="3" applyNumberFormat="1" applyFont="1" applyFill="1" applyBorder="1" applyAlignment="1">
      <alignment horizontal="left"/>
    </xf>
    <xf numFmtId="0" fontId="69" fillId="13" borderId="36" xfId="0" applyFont="1" applyFill="1" applyBorder="1"/>
    <xf numFmtId="164" fontId="69" fillId="13" borderId="36" xfId="0" applyNumberFormat="1" applyFont="1" applyFill="1" applyBorder="1" applyAlignment="1">
      <alignment horizontal="center"/>
    </xf>
    <xf numFmtId="168" fontId="68" fillId="13" borderId="36" xfId="2" applyNumberFormat="1" applyFont="1" applyFill="1" applyBorder="1"/>
    <xf numFmtId="10" fontId="68" fillId="13" borderId="36" xfId="0" applyNumberFormat="1" applyFont="1" applyFill="1" applyBorder="1" applyAlignment="1">
      <alignment horizontal="left"/>
    </xf>
    <xf numFmtId="43" fontId="68" fillId="13" borderId="36" xfId="0" applyNumberFormat="1" applyFont="1" applyFill="1" applyBorder="1"/>
    <xf numFmtId="44" fontId="68" fillId="13" borderId="36" xfId="2" applyFont="1" applyFill="1" applyBorder="1"/>
    <xf numFmtId="172" fontId="68" fillId="13" borderId="36" xfId="2" applyNumberFormat="1" applyFont="1" applyFill="1" applyBorder="1"/>
    <xf numFmtId="172" fontId="68" fillId="13" borderId="36" xfId="2" applyNumberFormat="1" applyFont="1" applyFill="1" applyBorder="1" applyAlignment="1">
      <alignment horizontal="center"/>
    </xf>
    <xf numFmtId="168" fontId="0" fillId="0" borderId="0" xfId="2" applyNumberFormat="1" applyFont="1"/>
    <xf numFmtId="10" fontId="22" fillId="6" borderId="13" xfId="3" applyNumberFormat="1" applyFont="1" applyFill="1" applyBorder="1" applyAlignment="1">
      <alignment horizontal="center"/>
    </xf>
    <xf numFmtId="10" fontId="22" fillId="6" borderId="38" xfId="3" applyNumberFormat="1" applyFont="1" applyFill="1" applyBorder="1" applyAlignment="1">
      <alignment horizontal="center"/>
    </xf>
    <xf numFmtId="44" fontId="64" fillId="13" borderId="13" xfId="2" applyFont="1" applyFill="1" applyBorder="1" applyAlignment="1">
      <alignment horizontal="center"/>
    </xf>
    <xf numFmtId="10" fontId="22" fillId="6" borderId="13" xfId="2" applyNumberFormat="1" applyFont="1" applyFill="1" applyBorder="1" applyAlignment="1">
      <alignment horizontal="center"/>
    </xf>
    <xf numFmtId="0" fontId="64" fillId="6" borderId="13" xfId="0" applyFont="1" applyFill="1" applyBorder="1" applyAlignment="1">
      <alignment horizontal="center"/>
    </xf>
    <xf numFmtId="10" fontId="64" fillId="13" borderId="13" xfId="3" applyNumberFormat="1" applyFont="1" applyFill="1" applyBorder="1" applyAlignment="1">
      <alignment horizontal="center"/>
    </xf>
    <xf numFmtId="169" fontId="22" fillId="6" borderId="13" xfId="0" applyNumberFormat="1" applyFont="1" applyFill="1" applyBorder="1" applyAlignment="1">
      <alignment horizontal="center"/>
    </xf>
    <xf numFmtId="44" fontId="0" fillId="7" borderId="18" xfId="0" applyNumberFormat="1" applyFill="1" applyBorder="1"/>
    <xf numFmtId="0" fontId="64" fillId="13" borderId="36" xfId="0" applyFont="1" applyFill="1" applyBorder="1" applyAlignment="1">
      <alignment horizontal="center"/>
    </xf>
    <xf numFmtId="10" fontId="64" fillId="13" borderId="36" xfId="0" applyNumberFormat="1" applyFont="1" applyFill="1" applyBorder="1" applyAlignment="1">
      <alignment horizontal="center"/>
    </xf>
    <xf numFmtId="0" fontId="25" fillId="0" borderId="13" xfId="0" applyFont="1" applyBorder="1"/>
    <xf numFmtId="44" fontId="0" fillId="7" borderId="0" xfId="0" applyNumberFormat="1" applyFill="1"/>
    <xf numFmtId="168" fontId="64" fillId="13" borderId="36" xfId="2" applyNumberFormat="1" applyFont="1" applyFill="1" applyBorder="1" applyAlignment="1">
      <alignment horizontal="center"/>
    </xf>
    <xf numFmtId="168" fontId="64" fillId="13" borderId="36" xfId="2" applyNumberFormat="1" applyFont="1" applyFill="1" applyBorder="1"/>
    <xf numFmtId="168" fontId="64" fillId="13" borderId="36" xfId="0" applyNumberFormat="1" applyFont="1" applyFill="1" applyBorder="1" applyAlignment="1">
      <alignment horizontal="center"/>
    </xf>
    <xf numFmtId="0" fontId="62" fillId="0" borderId="0" xfId="0" applyFont="1" applyAlignment="1">
      <alignment horizontal="center"/>
    </xf>
    <xf numFmtId="0" fontId="21" fillId="12" borderId="39" xfId="0" applyFont="1" applyFill="1" applyBorder="1"/>
    <xf numFmtId="0" fontId="22" fillId="12" borderId="39" xfId="0" applyFont="1" applyFill="1" applyBorder="1" applyAlignment="1">
      <alignment horizontal="center"/>
    </xf>
    <xf numFmtId="0" fontId="70" fillId="12" borderId="1" xfId="0" applyFont="1" applyFill="1" applyBorder="1" applyAlignment="1">
      <alignment horizontal="center"/>
    </xf>
    <xf numFmtId="0" fontId="21" fillId="12" borderId="1" xfId="0" applyFont="1" applyFill="1" applyBorder="1" applyAlignment="1">
      <alignment horizontal="center"/>
    </xf>
    <xf numFmtId="0" fontId="21" fillId="12" borderId="39" xfId="0" applyFont="1" applyFill="1" applyBorder="1" applyAlignment="1">
      <alignment horizontal="center"/>
    </xf>
    <xf numFmtId="0" fontId="22" fillId="12" borderId="39" xfId="0" applyFont="1" applyFill="1" applyBorder="1"/>
    <xf numFmtId="0" fontId="0" fillId="0" borderId="39" xfId="0" applyBorder="1" applyAlignment="1">
      <alignment horizontal="center"/>
    </xf>
    <xf numFmtId="10" fontId="48" fillId="0" borderId="1" xfId="0" applyNumberFormat="1" applyFont="1" applyBorder="1" applyAlignment="1">
      <alignment horizontal="center"/>
    </xf>
    <xf numFmtId="10" fontId="0" fillId="0" borderId="39" xfId="0" applyNumberFormat="1" applyBorder="1" applyAlignment="1">
      <alignment horizontal="center"/>
    </xf>
    <xf numFmtId="10" fontId="0" fillId="0" borderId="39" xfId="3" applyNumberFormat="1" applyFont="1" applyBorder="1" applyAlignment="1">
      <alignment horizontal="center"/>
    </xf>
    <xf numFmtId="0" fontId="1" fillId="14" borderId="39" xfId="0" applyFont="1" applyFill="1" applyBorder="1"/>
    <xf numFmtId="0" fontId="1" fillId="12" borderId="39" xfId="0" applyFont="1" applyFill="1" applyBorder="1"/>
    <xf numFmtId="0" fontId="71" fillId="0" borderId="39" xfId="0" applyFont="1" applyBorder="1" applyAlignment="1">
      <alignment horizontal="left"/>
    </xf>
    <xf numFmtId="10" fontId="72" fillId="0" borderId="1" xfId="0" applyNumberFormat="1" applyFont="1" applyBorder="1" applyAlignment="1">
      <alignment horizontal="center"/>
    </xf>
    <xf numFmtId="0" fontId="0" fillId="0" borderId="39" xfId="0" applyBorder="1" applyAlignment="1">
      <alignment horizontal="left"/>
    </xf>
    <xf numFmtId="10" fontId="48" fillId="0" borderId="3" xfId="0" applyNumberFormat="1" applyFont="1" applyBorder="1" applyAlignment="1">
      <alignment horizontal="center"/>
    </xf>
    <xf numFmtId="172" fontId="0" fillId="0" borderId="1" xfId="0" applyNumberFormat="1" applyBorder="1" applyAlignment="1">
      <alignment horizontal="center"/>
    </xf>
    <xf numFmtId="10" fontId="73" fillId="0" borderId="1" xfId="3" applyNumberFormat="1" applyFont="1" applyBorder="1" applyAlignment="1">
      <alignment horizontal="center"/>
    </xf>
    <xf numFmtId="10" fontId="74" fillId="0" borderId="1" xfId="3" applyNumberFormat="1" applyFont="1" applyBorder="1" applyAlignment="1">
      <alignment horizontal="center"/>
    </xf>
    <xf numFmtId="0" fontId="75" fillId="0" borderId="1" xfId="0" applyFont="1" applyBorder="1" applyAlignment="1">
      <alignment horizontal="center"/>
    </xf>
    <xf numFmtId="0" fontId="76" fillId="0" borderId="1" xfId="0" applyFont="1" applyBorder="1" applyAlignment="1">
      <alignment horizontal="center"/>
    </xf>
    <xf numFmtId="0" fontId="33" fillId="0" borderId="0" xfId="0" applyFont="1" applyAlignment="1">
      <alignment horizontal="center"/>
    </xf>
    <xf numFmtId="10" fontId="33" fillId="0" borderId="0" xfId="0" applyNumberFormat="1" applyFont="1" applyAlignment="1">
      <alignment horizontal="center"/>
    </xf>
    <xf numFmtId="2" fontId="33" fillId="0" borderId="0" xfId="0" applyNumberFormat="1" applyFont="1" applyAlignment="1">
      <alignment horizontal="center"/>
    </xf>
    <xf numFmtId="10" fontId="38" fillId="0" borderId="0" xfId="0" applyNumberFormat="1" applyFont="1" applyAlignment="1">
      <alignment horizontal="center"/>
    </xf>
    <xf numFmtId="10" fontId="64" fillId="13" borderId="36" xfId="3" applyNumberFormat="1" applyFont="1" applyFill="1" applyBorder="1" applyAlignment="1">
      <alignment horizontal="center"/>
    </xf>
    <xf numFmtId="168" fontId="64" fillId="13" borderId="40" xfId="0" applyNumberFormat="1" applyFont="1" applyFill="1" applyBorder="1" applyAlignment="1">
      <alignment horizontal="center"/>
    </xf>
    <xf numFmtId="44" fontId="22" fillId="6" borderId="14" xfId="2" applyFont="1" applyFill="1" applyBorder="1"/>
    <xf numFmtId="44" fontId="22" fillId="6" borderId="14" xfId="2" applyFont="1" applyFill="1" applyBorder="1" applyAlignment="1">
      <alignment horizontal="center"/>
    </xf>
    <xf numFmtId="44" fontId="22" fillId="6" borderId="38" xfId="2" applyFont="1" applyFill="1" applyBorder="1" applyAlignment="1">
      <alignment horizontal="center"/>
    </xf>
    <xf numFmtId="168" fontId="64" fillId="13" borderId="41" xfId="2" applyNumberFormat="1" applyFont="1" applyFill="1" applyBorder="1" applyAlignment="1">
      <alignment horizontal="center"/>
    </xf>
    <xf numFmtId="0" fontId="64" fillId="13" borderId="36" xfId="0" applyFont="1" applyFill="1" applyBorder="1"/>
    <xf numFmtId="168" fontId="22" fillId="6" borderId="1" xfId="2" applyNumberFormat="1" applyFont="1" applyFill="1" applyBorder="1"/>
    <xf numFmtId="168" fontId="22" fillId="6" borderId="1" xfId="2" applyNumberFormat="1" applyFont="1" applyFill="1" applyBorder="1" applyAlignment="1">
      <alignment horizontal="center"/>
    </xf>
    <xf numFmtId="168" fontId="22" fillId="6" borderId="13" xfId="2" applyNumberFormat="1" applyFont="1" applyFill="1" applyBorder="1" applyAlignment="1">
      <alignment horizontal="center"/>
    </xf>
    <xf numFmtId="168" fontId="22" fillId="6" borderId="3" xfId="2" applyNumberFormat="1" applyFont="1" applyFill="1" applyBorder="1"/>
    <xf numFmtId="168" fontId="22" fillId="6" borderId="3" xfId="2" applyNumberFormat="1" applyFont="1" applyFill="1" applyBorder="1" applyAlignment="1">
      <alignment horizontal="center"/>
    </xf>
    <xf numFmtId="168" fontId="64" fillId="13" borderId="35" xfId="2" applyNumberFormat="1" applyFont="1" applyFill="1" applyBorder="1"/>
    <xf numFmtId="168" fontId="64" fillId="13" borderId="37" xfId="2" applyNumberFormat="1" applyFont="1" applyFill="1" applyBorder="1"/>
    <xf numFmtId="44" fontId="0" fillId="0" borderId="18" xfId="0" applyNumberFormat="1" applyBorder="1"/>
    <xf numFmtId="44" fontId="0" fillId="0" borderId="0" xfId="0" applyNumberFormat="1"/>
    <xf numFmtId="0" fontId="26" fillId="0" borderId="0" xfId="0" applyFont="1"/>
    <xf numFmtId="0" fontId="24" fillId="0" borderId="33" xfId="0" applyFont="1" applyBorder="1" applyAlignment="1">
      <alignment horizontal="center"/>
    </xf>
    <xf numFmtId="0" fontId="24" fillId="0" borderId="9" xfId="0" applyFont="1" applyBorder="1" applyAlignment="1">
      <alignment horizontal="center"/>
    </xf>
    <xf numFmtId="0" fontId="24" fillId="0" borderId="32" xfId="0" applyFont="1" applyBorder="1" applyAlignment="1">
      <alignment horizontal="center"/>
    </xf>
    <xf numFmtId="0" fontId="24" fillId="0" borderId="31" xfId="0" applyFont="1" applyBorder="1" applyAlignment="1">
      <alignment horizontal="center"/>
    </xf>
    <xf numFmtId="0" fontId="24" fillId="0" borderId="10" xfId="0" applyFont="1" applyBorder="1" applyAlignment="1">
      <alignment horizontal="center"/>
    </xf>
    <xf numFmtId="0" fontId="24" fillId="0" borderId="6" xfId="0" applyFont="1" applyBorder="1" applyAlignment="1">
      <alignment horizontal="center"/>
    </xf>
    <xf numFmtId="0" fontId="24" fillId="0" borderId="7" xfId="0" applyFont="1" applyBorder="1" applyAlignment="1">
      <alignment horizontal="center"/>
    </xf>
    <xf numFmtId="0" fontId="68" fillId="13" borderId="42" xfId="0" applyFont="1" applyFill="1" applyBorder="1" applyAlignment="1">
      <alignment horizontal="center"/>
    </xf>
    <xf numFmtId="0" fontId="68" fillId="13" borderId="44" xfId="0" applyFont="1" applyFill="1" applyBorder="1" applyAlignment="1">
      <alignment horizontal="center"/>
    </xf>
    <xf numFmtId="0" fontId="68" fillId="13" borderId="43" xfId="0" applyFont="1" applyFill="1" applyBorder="1" applyAlignment="1">
      <alignment horizontal="center"/>
    </xf>
    <xf numFmtId="0" fontId="68" fillId="13" borderId="36" xfId="0" applyFont="1" applyFill="1" applyBorder="1" applyAlignment="1">
      <alignment horizontal="left"/>
    </xf>
    <xf numFmtId="0" fontId="68" fillId="13" borderId="36" xfId="0" applyFont="1" applyFill="1" applyBorder="1" applyAlignment="1">
      <alignment horizontal="left" vertical="top" wrapText="1"/>
    </xf>
    <xf numFmtId="0" fontId="67" fillId="13" borderId="36" xfId="0" applyFont="1" applyFill="1" applyBorder="1" applyAlignment="1">
      <alignment horizontal="left" vertical="top" wrapText="1"/>
    </xf>
    <xf numFmtId="0" fontId="49" fillId="0" borderId="16" xfId="0" applyFont="1" applyBorder="1" applyAlignment="1">
      <alignment horizontal="left" wrapText="1"/>
    </xf>
    <xf numFmtId="0" fontId="50" fillId="0" borderId="16" xfId="0" applyFont="1" applyBorder="1" applyAlignment="1">
      <alignment horizontal="left" wrapText="1"/>
    </xf>
    <xf numFmtId="0" fontId="50" fillId="0" borderId="17" xfId="0" applyFont="1" applyBorder="1" applyAlignment="1">
      <alignment horizontal="left" wrapText="1"/>
    </xf>
    <xf numFmtId="0" fontId="50" fillId="0" borderId="0" xfId="0" applyFont="1" applyAlignment="1">
      <alignment horizontal="left" wrapText="1"/>
    </xf>
    <xf numFmtId="0" fontId="50" fillId="0" borderId="21" xfId="0" applyFont="1" applyBorder="1" applyAlignment="1">
      <alignment horizontal="left" wrapText="1"/>
    </xf>
    <xf numFmtId="0" fontId="50" fillId="0" borderId="34" xfId="0" applyFont="1" applyBorder="1" applyAlignment="1">
      <alignment horizontal="left" wrapText="1"/>
    </xf>
    <xf numFmtId="0" fontId="50" fillId="0" borderId="30" xfId="0" applyFont="1" applyBorder="1" applyAlignment="1">
      <alignment horizontal="left" wrapText="1"/>
    </xf>
    <xf numFmtId="0" fontId="42" fillId="0" borderId="16" xfId="0" applyFont="1" applyBorder="1" applyAlignment="1">
      <alignment horizontal="left" vertical="center" wrapText="1"/>
    </xf>
    <xf numFmtId="0" fontId="42" fillId="0" borderId="17" xfId="0" applyFont="1" applyBorder="1" applyAlignment="1">
      <alignment horizontal="left" vertical="center" wrapText="1"/>
    </xf>
    <xf numFmtId="0" fontId="42" fillId="0" borderId="0" xfId="0" applyFont="1" applyAlignment="1">
      <alignment horizontal="left" vertical="center" wrapText="1"/>
    </xf>
    <xf numFmtId="0" fontId="42" fillId="0" borderId="21" xfId="0" applyFont="1" applyBorder="1" applyAlignment="1">
      <alignment horizontal="left" vertical="center" wrapText="1"/>
    </xf>
    <xf numFmtId="0" fontId="42" fillId="0" borderId="34" xfId="0" applyFont="1" applyBorder="1" applyAlignment="1">
      <alignment horizontal="left" vertical="center" wrapText="1"/>
    </xf>
    <xf numFmtId="0" fontId="42" fillId="0" borderId="30" xfId="0" applyFont="1" applyBorder="1" applyAlignment="1">
      <alignment horizontal="left" vertical="center" wrapText="1"/>
    </xf>
    <xf numFmtId="0" fontId="51" fillId="0" borderId="16" xfId="0" applyFont="1" applyBorder="1" applyAlignment="1">
      <alignment horizontal="left" vertical="center" wrapText="1"/>
    </xf>
    <xf numFmtId="0" fontId="48" fillId="0" borderId="16" xfId="0" applyFont="1" applyBorder="1" applyAlignment="1">
      <alignment horizontal="left" vertical="center" wrapText="1"/>
    </xf>
    <xf numFmtId="0" fontId="48" fillId="0" borderId="17" xfId="0" applyFont="1" applyBorder="1" applyAlignment="1">
      <alignment horizontal="left" vertical="center" wrapText="1"/>
    </xf>
    <xf numFmtId="0" fontId="48" fillId="0" borderId="0" xfId="0" applyFont="1" applyAlignment="1">
      <alignment horizontal="left" vertical="center" wrapText="1"/>
    </xf>
    <xf numFmtId="0" fontId="48" fillId="0" borderId="21" xfId="0" applyFont="1" applyBorder="1" applyAlignment="1">
      <alignment horizontal="left" vertical="center" wrapText="1"/>
    </xf>
    <xf numFmtId="0" fontId="48" fillId="0" borderId="34" xfId="0" applyFont="1" applyBorder="1" applyAlignment="1">
      <alignment horizontal="left" vertical="center" wrapText="1"/>
    </xf>
    <xf numFmtId="0" fontId="48" fillId="0" borderId="30" xfId="0" applyFont="1" applyBorder="1" applyAlignment="1">
      <alignment horizontal="left" vertical="center" wrapText="1"/>
    </xf>
    <xf numFmtId="168" fontId="68" fillId="13" borderId="36" xfId="2" applyNumberFormat="1" applyFont="1" applyFill="1" applyBorder="1" applyAlignment="1">
      <alignment horizontal="right"/>
    </xf>
    <xf numFmtId="0" fontId="66" fillId="13" borderId="10" xfId="0" applyFont="1" applyFill="1" applyBorder="1" applyAlignment="1">
      <alignment horizontal="center"/>
    </xf>
    <xf numFmtId="0" fontId="66" fillId="13" borderId="6" xfId="0" applyFont="1" applyFill="1" applyBorder="1" applyAlignment="1">
      <alignment horizontal="center"/>
    </xf>
    <xf numFmtId="0" fontId="66" fillId="13" borderId="7" xfId="0" applyFont="1" applyFill="1" applyBorder="1" applyAlignment="1">
      <alignment horizontal="center"/>
    </xf>
    <xf numFmtId="0" fontId="67" fillId="13" borderId="36" xfId="0" applyFont="1" applyFill="1" applyBorder="1" applyAlignment="1">
      <alignment horizontal="center"/>
    </xf>
    <xf numFmtId="10" fontId="52" fillId="0" borderId="33" xfId="0" applyNumberFormat="1" applyFont="1" applyBorder="1" applyAlignment="1">
      <alignment horizontal="center"/>
    </xf>
    <xf numFmtId="10" fontId="52" fillId="0" borderId="31" xfId="0" applyNumberFormat="1" applyFont="1" applyBorder="1" applyAlignment="1">
      <alignment horizontal="center"/>
    </xf>
    <xf numFmtId="0" fontId="12" fillId="11" borderId="0" xfId="0" applyFont="1" applyFill="1" applyAlignment="1">
      <alignment horizontal="center" vertical="center" wrapText="1"/>
    </xf>
    <xf numFmtId="0" fontId="2" fillId="12" borderId="1" xfId="0" applyFont="1" applyFill="1" applyBorder="1" applyAlignment="1">
      <alignment horizontal="left" vertical="top" wrapText="1"/>
    </xf>
    <xf numFmtId="0" fontId="63" fillId="0" borderId="0" xfId="0" applyFont="1" applyAlignment="1">
      <alignment horizontal="center"/>
    </xf>
    <xf numFmtId="164" fontId="0" fillId="0" borderId="20" xfId="0" applyNumberFormat="1" applyBorder="1" applyAlignment="1">
      <alignment horizontal="center" vertical="center" wrapText="1"/>
    </xf>
  </cellXfs>
  <cellStyles count="4">
    <cellStyle name="Comma" xfId="1" builtinId="3"/>
    <cellStyle name="Currency" xfId="2" builtinId="4"/>
    <cellStyle name="Normal" xfId="0" builtinId="0"/>
    <cellStyle name="Percent" xfId="3" builtinId="5"/>
  </cellStyles>
  <dxfs count="1">
    <dxf>
      <border>
        <left/>
        <right/>
        <top/>
        <bottom/>
      </border>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7.xml"/><Relationship Id="rId13" Type="http://schemas.openxmlformats.org/officeDocument/2006/relationships/worksheet" Target="worksheets/sheet12.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6.xml"/><Relationship Id="rId12" Type="http://schemas.openxmlformats.org/officeDocument/2006/relationships/worksheet" Target="worksheets/sheet11.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5.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5.xml"/><Relationship Id="rId11" Type="http://schemas.openxmlformats.org/officeDocument/2006/relationships/worksheet" Target="worksheets/sheet10.xml"/><Relationship Id="rId5" Type="http://schemas.openxmlformats.org/officeDocument/2006/relationships/chartsheet" Target="chartsheets/sheet1.xml"/><Relationship Id="rId15" Type="http://schemas.openxmlformats.org/officeDocument/2006/relationships/worksheet" Target="worksheets/sheet14.xml"/><Relationship Id="rId10" Type="http://schemas.openxmlformats.org/officeDocument/2006/relationships/worksheet" Target="worksheets/sheet9.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8.xml"/><Relationship Id="rId14" Type="http://schemas.openxmlformats.org/officeDocument/2006/relationships/worksheet" Target="worksheets/sheet13.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0"/>
    <c:plotArea>
      <c:layout/>
      <c:barChart>
        <c:barDir val="col"/>
        <c:grouping val="clustered"/>
        <c:varyColors val="0"/>
        <c:dLbls>
          <c:showLegendKey val="0"/>
          <c:showVal val="0"/>
          <c:showCatName val="0"/>
          <c:showSerName val="0"/>
          <c:showPercent val="0"/>
          <c:showBubbleSize val="0"/>
        </c:dLbls>
        <c:gapWidth val="150"/>
        <c:axId val="1"/>
        <c:axId val="2"/>
      </c:barChart>
      <c:catAx>
        <c:axId val="1"/>
        <c:scaling>
          <c:orientation val="minMax"/>
        </c:scaling>
        <c:delete val="0"/>
        <c:axPos val="b"/>
        <c:majorTickMark val="out"/>
        <c:minorTickMark val="none"/>
        <c:tickLblPos val="nextTo"/>
        <c:crossAx val="2"/>
        <c:crosses val="autoZero"/>
        <c:auto val="1"/>
        <c:lblAlgn val="ctr"/>
        <c:lblOffset val="100"/>
        <c:noMultiLvlLbl val="0"/>
      </c:catAx>
      <c:valAx>
        <c:axId val="2"/>
        <c:scaling>
          <c:orientation val="minMax"/>
        </c:scaling>
        <c:delete val="0"/>
        <c:axPos val="l"/>
        <c:majorGridlines/>
        <c:majorTickMark val="out"/>
        <c:minorTickMark val="none"/>
        <c:tickLblPos val="nextTo"/>
        <c:crossAx val="1"/>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userShapes r:id="rId1"/>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_xlchart.v1.2</cx:f>
      </cx:numDim>
    </cx:data>
  </cx:chartData>
  <cx:chart>
    <cx:title pos="t" align="ctr" overlay="0">
      <cx:tx>
        <cx:txData>
          <cx:v>Tesla: Value, by Business</cx:v>
        </cx:txData>
      </cx:tx>
      <cx:txPr>
        <a:bodyPr spcFirstLastPara="1" vertOverflow="ellipsis" horzOverflow="overflow" wrap="square" lIns="0" tIns="0" rIns="0" bIns="0" anchor="ctr" anchorCtr="1"/>
        <a:lstStyle/>
        <a:p>
          <a:pPr algn="ctr" rtl="0">
            <a:defRPr i="1">
              <a:latin typeface="Helvetica" pitchFamily="2" charset="0"/>
              <a:ea typeface="Helvetica" pitchFamily="2" charset="0"/>
              <a:cs typeface="Helvetica" pitchFamily="2" charset="0"/>
            </a:defRPr>
          </a:pPr>
          <a:r>
            <a:rPr lang="en-US" sz="1400" b="0" i="1" u="none" strike="noStrike" baseline="0">
              <a:solidFill>
                <a:sysClr val="windowText" lastClr="000000">
                  <a:lumMod val="65000"/>
                  <a:lumOff val="35000"/>
                </a:sysClr>
              </a:solidFill>
              <a:latin typeface="Helvetica" pitchFamily="2" charset="0"/>
            </a:rPr>
            <a:t>Tesla: Value, by Business</a:t>
          </a:r>
        </a:p>
      </cx:txPr>
    </cx:title>
    <cx:plotArea>
      <cx:plotAreaRegion>
        <cx:series layoutId="waterfall" uniqueId="{3E856C30-87C6-E641-A93F-2798B8106CB7}">
          <cx:tx>
            <cx:txData>
              <cx:f>_xlchart.v1.1</cx:f>
              <cx:v>Value</cx:v>
            </cx:txData>
          </cx:tx>
          <cx:dataPt idx="1">
            <cx:spPr>
              <a:solidFill>
                <a:srgbClr val="FF0000"/>
              </a:solidFill>
            </cx:spPr>
          </cx:dataPt>
          <cx:dataPt idx="2">
            <cx:spPr>
              <a:solidFill>
                <a:srgbClr val="00B050"/>
              </a:solidFill>
            </cx:spPr>
          </cx:dataPt>
          <cx:dataPt idx="3">
            <cx:spPr>
              <a:solidFill>
                <a:srgbClr val="002060"/>
              </a:solidFill>
            </cx:spPr>
          </cx:dataPt>
          <cx:dataLabels pos="outEnd">
            <cx:txPr>
              <a:bodyPr vertOverflow="overflow" horzOverflow="overflow" wrap="square" lIns="0" tIns="0" rIns="0" bIns="0"/>
              <a:lstStyle/>
              <a:p>
                <a:pPr algn="ctr" rtl="0">
                  <a:defRPr sz="900" b="0" i="0">
                    <a:solidFill>
                      <a:srgbClr val="595959"/>
                    </a:solidFill>
                    <a:latin typeface="Helvetica" pitchFamily="2" charset="0"/>
                    <a:ea typeface="Helvetica" pitchFamily="2" charset="0"/>
                    <a:cs typeface="Helvetica" pitchFamily="2" charset="0"/>
                  </a:defRPr>
                </a:pPr>
                <a:endParaRPr lang="en-US">
                  <a:latin typeface="Helvetica" pitchFamily="2" charset="0"/>
                </a:endParaRPr>
              </a:p>
            </cx:txPr>
            <cx:visibility seriesName="0" categoryName="0" value="1"/>
          </cx:dataLabels>
          <cx:dataId val="0"/>
          <cx:layoutPr>
            <cx:subtotals/>
          </cx:layoutPr>
        </cx:series>
      </cx:plotAreaRegion>
      <cx:axis id="0">
        <cx:catScaling gapWidth="0.5"/>
        <cx:title>
          <cx:tx>
            <cx:txData>
              <cx:v>Tesla's Business</cx:v>
            </cx:txData>
          </cx:tx>
          <cx:txPr>
            <a:bodyPr spcFirstLastPara="1" vertOverflow="ellipsis" horzOverflow="overflow" wrap="square" lIns="0" tIns="0" rIns="0" bIns="0" anchor="ctr" anchorCtr="1"/>
            <a:lstStyle/>
            <a:p>
              <a:pPr algn="ctr" rtl="0">
                <a:defRPr i="1">
                  <a:latin typeface="Helvetica" pitchFamily="2" charset="0"/>
                  <a:ea typeface="Helvetica" pitchFamily="2" charset="0"/>
                  <a:cs typeface="Helvetica" pitchFamily="2" charset="0"/>
                </a:defRPr>
              </a:pPr>
              <a:r>
                <a:rPr lang="en-US" sz="900" b="0" i="1" u="none" strike="noStrike" baseline="0">
                  <a:solidFill>
                    <a:sysClr val="windowText" lastClr="000000">
                      <a:lumMod val="65000"/>
                      <a:lumOff val="35000"/>
                    </a:sysClr>
                  </a:solidFill>
                  <a:latin typeface="Helvetica" pitchFamily="2" charset="0"/>
                </a:rPr>
                <a:t>Tesla's Business</a:t>
              </a:r>
            </a:p>
          </cx:txPr>
        </cx:title>
        <cx:tickLabels/>
        <cx:txPr>
          <a:bodyPr vertOverflow="overflow" horzOverflow="overflow" wrap="square" lIns="0" tIns="0" rIns="0" bIns="0"/>
          <a:lstStyle/>
          <a:p>
            <a:pPr algn="ctr" rtl="0">
              <a:defRPr sz="900" b="0" i="0">
                <a:solidFill>
                  <a:srgbClr val="595959"/>
                </a:solidFill>
                <a:latin typeface="Helvetica" pitchFamily="2" charset="0"/>
                <a:ea typeface="Helvetica" pitchFamily="2" charset="0"/>
                <a:cs typeface="Helvetica" pitchFamily="2" charset="0"/>
              </a:defRPr>
            </a:pPr>
            <a:endParaRPr lang="en-US">
              <a:latin typeface="Helvetica" pitchFamily="2" charset="0"/>
            </a:endParaRPr>
          </a:p>
        </cx:txPr>
      </cx:axis>
      <cx:axis id="1">
        <cx:valScaling/>
        <cx:title>
          <cx:tx>
            <cx:txData>
              <cx:v>Value added by businss (in millions)</cx:v>
            </cx:txData>
          </cx:tx>
          <cx:txPr>
            <a:bodyPr spcFirstLastPara="1" vertOverflow="ellipsis" horzOverflow="overflow" wrap="square" lIns="0" tIns="0" rIns="0" bIns="0" anchor="ctr" anchorCtr="1"/>
            <a:lstStyle/>
            <a:p>
              <a:pPr algn="ctr" rtl="0">
                <a:defRPr i="1">
                  <a:latin typeface="Helvetica" pitchFamily="2" charset="0"/>
                  <a:ea typeface="Helvetica" pitchFamily="2" charset="0"/>
                  <a:cs typeface="Helvetica" pitchFamily="2" charset="0"/>
                </a:defRPr>
              </a:pPr>
              <a:r>
                <a:rPr lang="en-US" sz="900" b="0" i="1" u="none" strike="noStrike" baseline="0">
                  <a:solidFill>
                    <a:sysClr val="windowText" lastClr="000000">
                      <a:lumMod val="65000"/>
                      <a:lumOff val="35000"/>
                    </a:sysClr>
                  </a:solidFill>
                  <a:latin typeface="Helvetica" pitchFamily="2" charset="0"/>
                </a:rPr>
                <a:t>Value added by businss (in millions)</a:t>
              </a:r>
            </a:p>
          </cx:txPr>
        </cx:title>
        <cx:majorGridlines/>
        <cx:tickLabels/>
        <cx:txPr>
          <a:bodyPr vertOverflow="overflow" horzOverflow="overflow" wrap="square" lIns="0" tIns="0" rIns="0" bIns="0"/>
          <a:lstStyle/>
          <a:p>
            <a:pPr algn="ctr" rtl="0">
              <a:defRPr sz="900" b="0" i="0">
                <a:solidFill>
                  <a:srgbClr val="595959"/>
                </a:solidFill>
                <a:latin typeface="Helvetica" pitchFamily="2" charset="0"/>
                <a:ea typeface="Helvetica" pitchFamily="2" charset="0"/>
                <a:cs typeface="Helvetica" pitchFamily="2" charset="0"/>
              </a:defRPr>
            </a:pPr>
            <a:endParaRPr lang="en-US">
              <a:latin typeface="Helvetica" pitchFamily="2" charset="0"/>
            </a:endParaRPr>
          </a:p>
        </cx:txPr>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3.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4CAF840-D57F-8F46-9B04-FB5757435082}">
  <sheetPr/>
  <sheetViews>
    <sheetView zoomScale="163" workbookViewId="0" zoomToFit="1"/>
  </sheetViews>
  <pageMargins left="0.7" right="0.7" top="0.75" bottom="0.75" header="0.3" footer="0.3"/>
  <drawing r:id="rId1"/>
</chartsheet>
</file>

<file path=xl/drawings/_rels/drawing3.xml.rels><?xml version="1.0" encoding="UTF-8" standalone="yes"?>
<Relationships xmlns="http://schemas.openxmlformats.org/package/2006/relationships"><Relationship Id="rId2" Type="http://schemas.openxmlformats.org/officeDocument/2006/relationships/chart" Target="../charts/chart1.xml"/><Relationship Id="rId1" Type="http://schemas.microsoft.com/office/2014/relationships/chartEx" Target="../charts/chartEx1.xml"/></Relationships>
</file>

<file path=xl/drawings/drawing1.xml><?xml version="1.0" encoding="utf-8"?>
<xdr:wsDr xmlns:xdr="http://schemas.openxmlformats.org/drawingml/2006/spreadsheetDrawing" xmlns:a="http://schemas.openxmlformats.org/drawingml/2006/main">
  <xdr:oneCellAnchor>
    <xdr:from>
      <xdr:col>13</xdr:col>
      <xdr:colOff>60960</xdr:colOff>
      <xdr:row>0</xdr:row>
      <xdr:rowOff>73660</xdr:rowOff>
    </xdr:from>
    <xdr:ext cx="2215478" cy="609013"/>
    <xdr:sp macro="" textlink="">
      <xdr:nvSpPr>
        <xdr:cNvPr id="3" name="TextBox 2">
          <a:extLst>
            <a:ext uri="{FF2B5EF4-FFF2-40B4-BE49-F238E27FC236}">
              <a16:creationId xmlns:a16="http://schemas.microsoft.com/office/drawing/2014/main" id="{654E3889-7BCD-BA49-B216-E89EC2C08316}"/>
            </a:ext>
          </a:extLst>
        </xdr:cNvPr>
        <xdr:cNvSpPr txBox="1"/>
      </xdr:nvSpPr>
      <xdr:spPr>
        <a:xfrm>
          <a:off x="14986000" y="73660"/>
          <a:ext cx="2215478"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FF0000"/>
              </a:solidFill>
            </a:rPr>
            <a:t>Check these revenues against</a:t>
          </a:r>
        </a:p>
        <a:p>
          <a:r>
            <a:rPr lang="en-US" sz="1100">
              <a:solidFill>
                <a:srgbClr val="FF0000"/>
              </a:solidFill>
            </a:rPr>
            <a:t>a.</a:t>
          </a:r>
          <a:r>
            <a:rPr lang="en-US" sz="1100" baseline="0">
              <a:solidFill>
                <a:srgbClr val="FF0000"/>
              </a:solidFill>
            </a:rPr>
            <a:t> Overall market size</a:t>
          </a:r>
        </a:p>
        <a:p>
          <a:r>
            <a:rPr lang="en-US" sz="1100" baseline="0">
              <a:solidFill>
                <a:srgbClr val="FF0000"/>
              </a:solidFill>
            </a:rPr>
            <a:t>b. Largest companies in this market</a:t>
          </a:r>
          <a:endParaRPr lang="en-US" sz="1100">
            <a:solidFill>
              <a:srgbClr val="FF0000"/>
            </a:solidFill>
          </a:endParaRPr>
        </a:p>
      </xdr:txBody>
    </xdr:sp>
    <xdr:clientData/>
  </xdr:oneCellAnchor>
  <xdr:oneCellAnchor>
    <xdr:from>
      <xdr:col>11</xdr:col>
      <xdr:colOff>40640</xdr:colOff>
      <xdr:row>55</xdr:row>
      <xdr:rowOff>40640</xdr:rowOff>
    </xdr:from>
    <xdr:ext cx="4613106" cy="780592"/>
    <xdr:sp macro="" textlink="">
      <xdr:nvSpPr>
        <xdr:cNvPr id="4" name="TextBox 3">
          <a:extLst>
            <a:ext uri="{FF2B5EF4-FFF2-40B4-BE49-F238E27FC236}">
              <a16:creationId xmlns:a16="http://schemas.microsoft.com/office/drawing/2014/main" id="{14E0EEE6-A169-7F47-9D62-27987AA2FE40}"/>
            </a:ext>
          </a:extLst>
        </xdr:cNvPr>
        <xdr:cNvSpPr txBox="1"/>
      </xdr:nvSpPr>
      <xdr:spPr>
        <a:xfrm>
          <a:off x="12771120" y="7538720"/>
          <a:ext cx="4613106" cy="7694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rgbClr val="FF0000"/>
              </a:solidFill>
            </a:rPr>
            <a:t>Compare this return on capital</a:t>
          </a:r>
          <a:r>
            <a:rPr lang="en-US" sz="1100" baseline="0">
              <a:solidFill>
                <a:srgbClr val="FF0000"/>
              </a:solidFill>
            </a:rPr>
            <a:t> in year 10 against</a:t>
          </a:r>
        </a:p>
        <a:p>
          <a:r>
            <a:rPr lang="en-US" sz="1100" baseline="0">
              <a:solidFill>
                <a:srgbClr val="FF0000"/>
              </a:solidFill>
            </a:rPr>
            <a:t>a.  the industry average(column E of worksheet)</a:t>
          </a:r>
        </a:p>
        <a:p>
          <a:r>
            <a:rPr lang="en-US" sz="1100" baseline="0">
              <a:solidFill>
                <a:srgbClr val="FF0000"/>
              </a:solidFill>
            </a:rPr>
            <a:t>b. the return on capital after year 10</a:t>
          </a:r>
        </a:p>
        <a:p>
          <a:r>
            <a:rPr lang="en-US" sz="1100" baseline="0">
              <a:solidFill>
                <a:srgbClr val="FF0000"/>
              </a:solidFill>
            </a:rPr>
            <a:t>If it is too high (low), you may want to lower  (raise) your sales to capital ratio</a:t>
          </a:r>
          <a:endParaRPr lang="en-US" sz="1100">
            <a:solidFill>
              <a:srgbClr val="FF0000"/>
            </a:solidFill>
          </a:endParaRPr>
        </a:p>
      </xdr:txBody>
    </xdr:sp>
    <xdr:clientData/>
  </xdr:oneCellAnchor>
  <xdr:oneCellAnchor>
    <xdr:from>
      <xdr:col>14</xdr:col>
      <xdr:colOff>30480</xdr:colOff>
      <xdr:row>13</xdr:row>
      <xdr:rowOff>144780</xdr:rowOff>
    </xdr:from>
    <xdr:ext cx="2133600" cy="436786"/>
    <xdr:sp macro="" textlink="">
      <xdr:nvSpPr>
        <xdr:cNvPr id="2" name="TextBox 1">
          <a:extLst>
            <a:ext uri="{FF2B5EF4-FFF2-40B4-BE49-F238E27FC236}">
              <a16:creationId xmlns:a16="http://schemas.microsoft.com/office/drawing/2014/main" id="{73B21E18-105F-6841-8D9F-C616AB00290E}"/>
            </a:ext>
          </a:extLst>
        </xdr:cNvPr>
        <xdr:cNvSpPr txBox="1"/>
      </xdr:nvSpPr>
      <xdr:spPr>
        <a:xfrm>
          <a:off x="15920720" y="1363980"/>
          <a:ext cx="2133600"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rgbClr val="FF0000"/>
              </a:solidFill>
            </a:rPr>
            <a:t>This is how much capital you invested over the</a:t>
          </a:r>
          <a:r>
            <a:rPr lang="en-US" sz="1100" baseline="0">
              <a:solidFill>
                <a:srgbClr val="FF0000"/>
              </a:solidFill>
            </a:rPr>
            <a:t> ten year period. </a:t>
          </a:r>
          <a:endParaRPr lang="en-US" sz="1100">
            <a:solidFill>
              <a:srgbClr val="FF0000"/>
            </a:solidFill>
          </a:endParaRPr>
        </a:p>
      </xdr:txBody>
    </xdr:sp>
    <xdr:clientData/>
  </xdr:oneCellAnchor>
  <xdr:oneCellAnchor>
    <xdr:from>
      <xdr:col>14</xdr:col>
      <xdr:colOff>10160</xdr:colOff>
      <xdr:row>7</xdr:row>
      <xdr:rowOff>144780</xdr:rowOff>
    </xdr:from>
    <xdr:ext cx="2895600" cy="436786"/>
    <xdr:sp macro="" textlink="">
      <xdr:nvSpPr>
        <xdr:cNvPr id="5" name="TextBox 4">
          <a:extLst>
            <a:ext uri="{FF2B5EF4-FFF2-40B4-BE49-F238E27FC236}">
              <a16:creationId xmlns:a16="http://schemas.microsoft.com/office/drawing/2014/main" id="{6892C059-F376-9D4B-9077-CBF4CF8D9DA3}"/>
            </a:ext>
          </a:extLst>
        </xdr:cNvPr>
        <xdr:cNvSpPr txBox="1"/>
      </xdr:nvSpPr>
      <xdr:spPr>
        <a:xfrm>
          <a:off x="15900400" y="754380"/>
          <a:ext cx="2895600"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rgbClr val="FF0000"/>
              </a:solidFill>
            </a:rPr>
            <a:t>This is is how much your</a:t>
          </a:r>
          <a:r>
            <a:rPr lang="en-US" sz="1100" baseline="0">
              <a:solidFill>
                <a:srgbClr val="FF0000"/>
              </a:solidFill>
            </a:rPr>
            <a:t> operating income grew over the ten-year period.</a:t>
          </a:r>
          <a:endParaRPr lang="en-US" sz="1100">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2</xdr:col>
      <xdr:colOff>1023374</xdr:colOff>
      <xdr:row>9</xdr:row>
      <xdr:rowOff>580512</xdr:rowOff>
    </xdr:from>
    <xdr:to>
      <xdr:col>3</xdr:col>
      <xdr:colOff>350274</xdr:colOff>
      <xdr:row>9</xdr:row>
      <xdr:rowOff>580512</xdr:rowOff>
    </xdr:to>
    <xdr:cxnSp macro="">
      <xdr:nvCxnSpPr>
        <xdr:cNvPr id="113986" name="Straight Arrow Connector 4">
          <a:extLst>
            <a:ext uri="{FF2B5EF4-FFF2-40B4-BE49-F238E27FC236}">
              <a16:creationId xmlns:a16="http://schemas.microsoft.com/office/drawing/2014/main" id="{F3C3383D-3E60-1B4D-B22C-2AACA0377D06}"/>
            </a:ext>
          </a:extLst>
        </xdr:cNvPr>
        <xdr:cNvCxnSpPr>
          <a:cxnSpLocks noChangeShapeType="1"/>
        </xdr:cNvCxnSpPr>
      </xdr:nvCxnSpPr>
      <xdr:spPr bwMode="auto">
        <a:xfrm>
          <a:off x="3676035" y="3448254"/>
          <a:ext cx="668594" cy="0"/>
        </a:xfrm>
        <a:prstGeom prst="straightConnector1">
          <a:avLst/>
        </a:prstGeom>
        <a:noFill/>
        <a:ln w="25400">
          <a:solidFill>
            <a:srgbClr val="4F81BD"/>
          </a:solidFill>
          <a:round/>
          <a:headEnd/>
          <a:tailEnd type="triangle" w="med" len="med"/>
        </a:ln>
        <a:effectLst>
          <a:outerShdw blurRad="40000" dist="20000" dir="5400000" rotWithShape="0">
            <a:srgbClr val="808080">
              <a:alpha val="37999"/>
            </a:srgbClr>
          </a:outerShdw>
        </a:effectLst>
        <a:extLst>
          <a:ext uri="{909E8E84-426E-40DD-AFC4-6F175D3DCCD1}">
            <a14:hiddenFill xmlns:a14="http://schemas.microsoft.com/office/drawing/2010/main">
              <a:noFill/>
            </a14:hiddenFill>
          </a:ext>
        </a:extLst>
      </xdr:spPr>
    </xdr:cxnSp>
    <xdr:clientData/>
  </xdr:twoCellAnchor>
  <xdr:twoCellAnchor>
    <xdr:from>
      <xdr:col>2</xdr:col>
      <xdr:colOff>1066800</xdr:colOff>
      <xdr:row>10</xdr:row>
      <xdr:rowOff>101600</xdr:rowOff>
    </xdr:from>
    <xdr:to>
      <xdr:col>3</xdr:col>
      <xdr:colOff>381000</xdr:colOff>
      <xdr:row>10</xdr:row>
      <xdr:rowOff>101600</xdr:rowOff>
    </xdr:to>
    <xdr:cxnSp macro="">
      <xdr:nvCxnSpPr>
        <xdr:cNvPr id="113987" name="Straight Arrow Connector 6">
          <a:extLst>
            <a:ext uri="{FF2B5EF4-FFF2-40B4-BE49-F238E27FC236}">
              <a16:creationId xmlns:a16="http://schemas.microsoft.com/office/drawing/2014/main" id="{584B2669-8A3D-9A4E-93B2-3A47929E3B44}"/>
            </a:ext>
          </a:extLst>
        </xdr:cNvPr>
        <xdr:cNvCxnSpPr>
          <a:cxnSpLocks noChangeShapeType="1"/>
        </xdr:cNvCxnSpPr>
      </xdr:nvCxnSpPr>
      <xdr:spPr bwMode="auto">
        <a:xfrm>
          <a:off x="3594100" y="2032000"/>
          <a:ext cx="660400" cy="0"/>
        </a:xfrm>
        <a:prstGeom prst="straightConnector1">
          <a:avLst/>
        </a:prstGeom>
        <a:noFill/>
        <a:ln w="25400">
          <a:solidFill>
            <a:srgbClr val="4F81BD"/>
          </a:solidFill>
          <a:round/>
          <a:headEnd/>
          <a:tailEnd type="triangle" w="med" len="med"/>
        </a:ln>
        <a:effectLst>
          <a:outerShdw blurRad="40000" dist="20000" dir="5400000" rotWithShape="0">
            <a:srgbClr val="808080">
              <a:alpha val="37999"/>
            </a:srgbClr>
          </a:outerShdw>
        </a:effectLst>
        <a:extLst>
          <a:ext uri="{909E8E84-426E-40DD-AFC4-6F175D3DCCD1}">
            <a14:hiddenFill xmlns:a14="http://schemas.microsoft.com/office/drawing/2010/main">
              <a:noFill/>
            </a14:hiddenFill>
          </a:ext>
        </a:extLst>
      </xdr:spPr>
    </xdr:cxnSp>
    <xdr:clientData/>
  </xdr:twoCellAnchor>
  <xdr:twoCellAnchor>
    <xdr:from>
      <xdr:col>2</xdr:col>
      <xdr:colOff>1066800</xdr:colOff>
      <xdr:row>13</xdr:row>
      <xdr:rowOff>133927</xdr:rowOff>
    </xdr:from>
    <xdr:to>
      <xdr:col>3</xdr:col>
      <xdr:colOff>381000</xdr:colOff>
      <xdr:row>13</xdr:row>
      <xdr:rowOff>133927</xdr:rowOff>
    </xdr:to>
    <xdr:cxnSp macro="">
      <xdr:nvCxnSpPr>
        <xdr:cNvPr id="113988" name="Straight Arrow Connector 10">
          <a:extLst>
            <a:ext uri="{FF2B5EF4-FFF2-40B4-BE49-F238E27FC236}">
              <a16:creationId xmlns:a16="http://schemas.microsoft.com/office/drawing/2014/main" id="{8F4CF655-09CE-D947-A831-959347E2301E}"/>
            </a:ext>
          </a:extLst>
        </xdr:cNvPr>
        <xdr:cNvCxnSpPr>
          <a:cxnSpLocks noChangeShapeType="1"/>
        </xdr:cNvCxnSpPr>
      </xdr:nvCxnSpPr>
      <xdr:spPr bwMode="auto">
        <a:xfrm>
          <a:off x="3592368" y="3438813"/>
          <a:ext cx="656359" cy="0"/>
        </a:xfrm>
        <a:prstGeom prst="straightConnector1">
          <a:avLst/>
        </a:prstGeom>
        <a:noFill/>
        <a:ln w="25400">
          <a:solidFill>
            <a:srgbClr val="4F81BD"/>
          </a:solidFill>
          <a:round/>
          <a:headEnd/>
          <a:tailEnd type="triangle" w="med" len="med"/>
        </a:ln>
        <a:effectLst>
          <a:outerShdw blurRad="40000" dist="20000" dir="5400000" rotWithShape="0">
            <a:srgbClr val="808080">
              <a:alpha val="37999"/>
            </a:srgbClr>
          </a:outerShdw>
        </a:effectLst>
        <a:extLst>
          <a:ext uri="{909E8E84-426E-40DD-AFC4-6F175D3DCCD1}">
            <a14:hiddenFill xmlns:a14="http://schemas.microsoft.com/office/drawing/2010/main">
              <a:noFill/>
            </a14:hiddenFill>
          </a:ext>
        </a:extLst>
      </xdr:spPr>
    </xdr:cxnSp>
    <xdr:clientData/>
  </xdr:twoCellAnchor>
  <xdr:twoCellAnchor>
    <xdr:from>
      <xdr:col>2</xdr:col>
      <xdr:colOff>931476</xdr:colOff>
      <xdr:row>8</xdr:row>
      <xdr:rowOff>592747</xdr:rowOff>
    </xdr:from>
    <xdr:to>
      <xdr:col>3</xdr:col>
      <xdr:colOff>258376</xdr:colOff>
      <xdr:row>8</xdr:row>
      <xdr:rowOff>592747</xdr:rowOff>
    </xdr:to>
    <xdr:cxnSp macro="">
      <xdr:nvCxnSpPr>
        <xdr:cNvPr id="113989" name="Straight Arrow Connector 4">
          <a:extLst>
            <a:ext uri="{FF2B5EF4-FFF2-40B4-BE49-F238E27FC236}">
              <a16:creationId xmlns:a16="http://schemas.microsoft.com/office/drawing/2014/main" id="{DBD8894E-2AE1-AD48-BBEC-C22585D3F148}"/>
            </a:ext>
          </a:extLst>
        </xdr:cNvPr>
        <xdr:cNvCxnSpPr>
          <a:cxnSpLocks noChangeShapeType="1"/>
        </xdr:cNvCxnSpPr>
      </xdr:nvCxnSpPr>
      <xdr:spPr bwMode="auto">
        <a:xfrm>
          <a:off x="3584137" y="2733312"/>
          <a:ext cx="668594" cy="0"/>
        </a:xfrm>
        <a:prstGeom prst="straightConnector1">
          <a:avLst/>
        </a:prstGeom>
        <a:noFill/>
        <a:ln w="25400">
          <a:solidFill>
            <a:srgbClr val="4F81BD"/>
          </a:solidFill>
          <a:round/>
          <a:headEnd/>
          <a:tailEnd type="triangle" w="med" len="med"/>
        </a:ln>
        <a:effectLst>
          <a:outerShdw blurRad="40000" dist="20000" dir="5400000" rotWithShape="0">
            <a:srgbClr val="808080">
              <a:alpha val="37999"/>
            </a:srgbClr>
          </a:outerShdw>
        </a:effectLst>
        <a:extLst>
          <a:ext uri="{909E8E84-426E-40DD-AFC4-6F175D3DCCD1}">
            <a14:hiddenFill xmlns:a14="http://schemas.microsoft.com/office/drawing/2010/main">
              <a:noFill/>
            </a14:hiddenFill>
          </a:ext>
        </a:extLst>
      </xdr:spPr>
    </xdr:cxnSp>
    <xdr:clientData/>
  </xdr:twoCellAnchor>
</xdr:wsDr>
</file>

<file path=xl/drawings/drawing3.xml><?xml version="1.0" encoding="utf-8"?>
<xdr:wsDr xmlns:xdr="http://schemas.openxmlformats.org/drawingml/2006/spreadsheetDrawing" xmlns:a="http://schemas.openxmlformats.org/drawingml/2006/main">
  <xdr:absoluteAnchor>
    <xdr:pos x="0" y="0"/>
    <xdr:ext cx="8664049" cy="6279877"/>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1B784CD2-BE6B-6CA5-8D9D-63F5633F740E}"/>
                </a:ext>
              </a:extLst>
            </xdr:cNvPr>
            <xdr:cNvGraphicFramePr>
              <a:graphicFrameLocks/>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graphicFrame macro="">
          <xdr:nvGraphicFramePr>
            <xdr:cNvPr id="0" name=""/>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mc:Fallback>
    </mc:AlternateContent>
    <xdr:clientData/>
  </xdr:absoluteAnchor>
</xdr:wsDr>
</file>

<file path=xl/drawings/drawing4.xml><?xml version="1.0" encoding="utf-8"?>
<c:userShapes xmlns:c="http://schemas.openxmlformats.org/drawingml/2006/chart">
  <cdr:relSizeAnchor xmlns:cdr="http://schemas.openxmlformats.org/drawingml/2006/chartDrawing">
    <cdr:from>
      <cdr:x>0</cdr:x>
      <cdr:y>0</cdr:y>
    </cdr:from>
    <cdr:to>
      <cdr:x>1</cdr:x>
      <cdr:y>1</cdr:y>
    </cdr:to>
    <cdr:sp macro="" textlink="">
      <cdr:nvSpPr>
        <cdr:cNvPr id="2" name="Rectangle 1">
          <a:extLst xmlns:a="http://schemas.openxmlformats.org/drawingml/2006/main">
            <a:ext uri="{FF2B5EF4-FFF2-40B4-BE49-F238E27FC236}">
              <a16:creationId xmlns:a16="http://schemas.microsoft.com/office/drawing/2014/main" id="{4001C3EC-1C7D-030F-C9BB-67DA34AD3ECC}"/>
            </a:ext>
          </a:extLst>
        </cdr:cNvPr>
        <cdr:cNvSpPr>
          <a:spLocks xmlns:a="http://schemas.openxmlformats.org/drawingml/2006/main" noTextEdit="1"/>
        </cdr:cNvSpPr>
      </cdr:nvSpPr>
      <cdr:spPr>
        <a:xfrm xmlns:a="http://schemas.openxmlformats.org/drawingml/2006/main">
          <a:off x="0" y="0"/>
          <a:ext cx="8664049" cy="6279877"/>
        </a:xfrm>
        <a:prstGeom xmlns:a="http://schemas.openxmlformats.org/drawingml/2006/main" prst="rect">
          <a:avLst/>
        </a:prstGeom>
        <a:solidFill xmlns:a="http://schemas.openxmlformats.org/drawingml/2006/main">
          <a:prstClr val="white"/>
        </a:solidFill>
        <a:ln xmlns:a="http://schemas.openxmlformats.org/drawingml/2006/main" w="1">
          <a:solidFill>
            <a:prstClr val="green"/>
          </a:solidFill>
        </a:ln>
      </cdr:spPr>
      <cdr:txBody>
        <a:bodyPr xmlns:a="http://schemas.openxmlformats.org/drawingml/2006/main" vertOverflow="clip" horzOverflow="clip"/>
        <a:lstStyle xmlns:a="http://schemas.openxmlformats.org/drawingml/2006/main"/>
        <a:p xmlns:a="http://schemas.openxmlformats.org/drawingml/2006/main">
          <a:r>
            <a:rPr lang="en-US" sz="1100"/>
            <a:t>This chart isn't available in your version of Excel.
Editing this shape or saving this workbook into a different file format will permanently break the chart.</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4"/>
  <sheetViews>
    <sheetView zoomScale="137" zoomScaleNormal="137" workbookViewId="0">
      <selection activeCell="B23" sqref="B23"/>
    </sheetView>
  </sheetViews>
  <sheetFormatPr baseColWidth="10" defaultRowHeight="12"/>
  <cols>
    <col min="1" max="1" width="49.6640625" style="4" customWidth="1"/>
    <col min="2" max="2" width="26.5" style="4" customWidth="1"/>
    <col min="3" max="3" width="17" style="4" customWidth="1"/>
    <col min="4" max="4" width="16.6640625" style="4" customWidth="1"/>
    <col min="5" max="7" width="10.83203125" style="4"/>
    <col min="8" max="8" width="13.6640625" style="4" bestFit="1" customWidth="1"/>
    <col min="9" max="9" width="13.5" style="4" customWidth="1"/>
    <col min="10" max="10" width="15" style="4" bestFit="1" customWidth="1"/>
    <col min="11" max="11" width="17.5" style="4" bestFit="1" customWidth="1"/>
    <col min="12" max="16384" width="10.83203125" style="4"/>
  </cols>
  <sheetData>
    <row r="1" spans="1:10" ht="13">
      <c r="A1" s="179" t="s">
        <v>379</v>
      </c>
      <c r="B1" s="198">
        <v>44712</v>
      </c>
      <c r="C1" s="143" t="s">
        <v>380</v>
      </c>
      <c r="D1" s="144"/>
      <c r="E1" s="144"/>
      <c r="F1" s="144"/>
      <c r="G1" s="144"/>
      <c r="H1" s="144"/>
      <c r="I1" s="144"/>
      <c r="J1" s="145"/>
    </row>
    <row r="2" spans="1:10" s="51" customFormat="1" ht="14" thickBot="1">
      <c r="A2" s="48" t="s">
        <v>31</v>
      </c>
      <c r="B2" s="199" t="s">
        <v>732</v>
      </c>
      <c r="C2" s="180" t="s">
        <v>95</v>
      </c>
      <c r="J2" s="181"/>
    </row>
    <row r="3" spans="1:10" s="51" customFormat="1" ht="14" thickBot="1">
      <c r="A3" s="354" t="s">
        <v>423</v>
      </c>
      <c r="B3" s="355"/>
      <c r="C3" s="356"/>
      <c r="D3" s="356"/>
      <c r="E3" s="356"/>
      <c r="F3" s="356"/>
      <c r="G3" s="356"/>
      <c r="H3" s="356"/>
      <c r="I3" s="356"/>
      <c r="J3" s="357"/>
    </row>
    <row r="4" spans="1:10" s="51" customFormat="1" ht="13">
      <c r="A4" s="48"/>
      <c r="B4" s="48" t="s">
        <v>173</v>
      </c>
      <c r="C4" s="48" t="s">
        <v>174</v>
      </c>
    </row>
    <row r="5" spans="1:10" s="51" customFormat="1" ht="13">
      <c r="A5" s="51" t="s">
        <v>438</v>
      </c>
      <c r="B5" s="133" t="s">
        <v>342</v>
      </c>
      <c r="C5" s="48"/>
    </row>
    <row r="6" spans="1:10" s="51" customFormat="1" ht="13">
      <c r="A6" s="51" t="s">
        <v>428</v>
      </c>
      <c r="B6" s="133" t="s">
        <v>637</v>
      </c>
    </row>
    <row r="7" spans="1:10" s="51" customFormat="1" ht="13">
      <c r="A7" s="51" t="s">
        <v>429</v>
      </c>
      <c r="B7" s="133" t="s">
        <v>637</v>
      </c>
      <c r="C7" s="213" t="s">
        <v>388</v>
      </c>
      <c r="D7" s="213" t="s">
        <v>520</v>
      </c>
    </row>
    <row r="8" spans="1:10" s="51" customFormat="1" ht="13">
      <c r="A8" s="54" t="s">
        <v>741</v>
      </c>
      <c r="B8" s="73">
        <v>4086</v>
      </c>
      <c r="C8" s="73">
        <v>3796</v>
      </c>
      <c r="D8" s="133">
        <v>1</v>
      </c>
      <c r="H8" s="249"/>
    </row>
    <row r="9" spans="1:10" s="51" customFormat="1" ht="13">
      <c r="A9" s="54" t="s">
        <v>734</v>
      </c>
      <c r="B9" s="73">
        <v>11387</v>
      </c>
      <c r="C9" s="73">
        <v>7599</v>
      </c>
      <c r="D9" s="133"/>
    </row>
    <row r="10" spans="1:10" s="51" customFormat="1" ht="13">
      <c r="A10" s="54" t="s">
        <v>735</v>
      </c>
      <c r="B10" s="73">
        <v>3201</v>
      </c>
      <c r="C10" s="73">
        <v>2620</v>
      </c>
      <c r="D10" s="133"/>
    </row>
    <row r="11" spans="1:10" s="51" customFormat="1" ht="13">
      <c r="A11" s="54" t="s">
        <v>26</v>
      </c>
      <c r="B11" s="73">
        <v>-2589</v>
      </c>
      <c r="C11" s="73">
        <v>-2500</v>
      </c>
      <c r="D11" s="133">
        <v>1</v>
      </c>
    </row>
    <row r="12" spans="1:10" s="51" customFormat="1" ht="13">
      <c r="A12" s="54" t="s">
        <v>431</v>
      </c>
      <c r="B12" s="73">
        <v>1945</v>
      </c>
      <c r="C12" s="73">
        <v>1580</v>
      </c>
      <c r="D12" s="55"/>
      <c r="F12" s="249"/>
    </row>
    <row r="13" spans="1:10" s="51" customFormat="1" ht="13">
      <c r="A13" s="54" t="s">
        <v>27</v>
      </c>
      <c r="B13" s="73">
        <f>2573+38752</f>
        <v>41325</v>
      </c>
      <c r="C13" s="73">
        <f>4863+20941</f>
        <v>25804</v>
      </c>
      <c r="D13" s="55"/>
    </row>
    <row r="14" spans="1:10" s="51" customFormat="1" ht="13">
      <c r="A14" s="54" t="s">
        <v>28</v>
      </c>
      <c r="B14" s="73">
        <f>21968+928</f>
        <v>22896</v>
      </c>
      <c r="C14" s="73">
        <f>372+13421</f>
        <v>13793</v>
      </c>
      <c r="D14" s="55"/>
    </row>
    <row r="15" spans="1:10" s="51" customFormat="1" ht="13">
      <c r="A15" s="54" t="s">
        <v>418</v>
      </c>
      <c r="B15" s="170" t="s">
        <v>52</v>
      </c>
      <c r="C15" s="171" t="s">
        <v>419</v>
      </c>
      <c r="D15" s="55"/>
    </row>
    <row r="16" spans="1:10" s="51" customFormat="1" ht="13">
      <c r="A16" s="54" t="s">
        <v>239</v>
      </c>
      <c r="B16" s="73" t="s">
        <v>46</v>
      </c>
      <c r="C16" s="55" t="s">
        <v>242</v>
      </c>
      <c r="D16" s="55"/>
    </row>
    <row r="17" spans="1:11" s="51" customFormat="1" ht="13">
      <c r="A17" s="54" t="s">
        <v>504</v>
      </c>
      <c r="B17" s="73">
        <v>24747</v>
      </c>
      <c r="C17" s="73">
        <v>11883</v>
      </c>
      <c r="D17" s="55"/>
    </row>
    <row r="18" spans="1:11" s="51" customFormat="1" ht="13">
      <c r="A18" s="54" t="s">
        <v>806</v>
      </c>
      <c r="B18" s="146">
        <v>75000</v>
      </c>
      <c r="C18" s="171" t="s">
        <v>808</v>
      </c>
      <c r="D18" s="55"/>
    </row>
    <row r="19" spans="1:11" s="51" customFormat="1" ht="13">
      <c r="A19" s="54" t="s">
        <v>505</v>
      </c>
      <c r="B19" s="146">
        <v>0</v>
      </c>
      <c r="C19" s="73">
        <v>0</v>
      </c>
      <c r="D19" s="55"/>
    </row>
    <row r="20" spans="1:11" s="51" customFormat="1" ht="13">
      <c r="A20" s="54" t="s">
        <v>384</v>
      </c>
      <c r="B20" s="146">
        <v>0</v>
      </c>
      <c r="C20" s="73">
        <v>0</v>
      </c>
      <c r="D20" s="55"/>
    </row>
    <row r="21" spans="1:11" s="51" customFormat="1" ht="14" thickBot="1">
      <c r="A21" s="54" t="s">
        <v>29</v>
      </c>
      <c r="B21" s="134">
        <f>6932.5+5602.8</f>
        <v>12535.3</v>
      </c>
      <c r="C21" s="55" t="s">
        <v>810</v>
      </c>
    </row>
    <row r="22" spans="1:11" s="51" customFormat="1" ht="13">
      <c r="A22" s="54" t="s">
        <v>30</v>
      </c>
      <c r="B22" s="73">
        <v>135</v>
      </c>
      <c r="C22" s="55" t="s">
        <v>809</v>
      </c>
      <c r="D22" s="249"/>
      <c r="E22" s="74" t="s">
        <v>238</v>
      </c>
      <c r="F22" s="49"/>
      <c r="G22" s="49"/>
      <c r="H22" s="49"/>
      <c r="I22" s="49"/>
      <c r="J22" s="49"/>
      <c r="K22" s="50"/>
    </row>
    <row r="23" spans="1:11" s="51" customFormat="1" ht="13">
      <c r="A23" s="54" t="s">
        <v>99</v>
      </c>
      <c r="B23" s="56">
        <v>0.1</v>
      </c>
      <c r="C23" s="55"/>
      <c r="E23" s="178" t="s">
        <v>422</v>
      </c>
      <c r="K23" s="76"/>
    </row>
    <row r="24" spans="1:11" s="51" customFormat="1" ht="13">
      <c r="A24" s="54" t="s">
        <v>100</v>
      </c>
      <c r="B24" s="56">
        <v>0.25</v>
      </c>
      <c r="C24" s="55"/>
      <c r="E24" s="132"/>
      <c r="I24" s="54" t="s">
        <v>234</v>
      </c>
      <c r="J24" s="54" t="s">
        <v>236</v>
      </c>
      <c r="K24" s="76" t="s">
        <v>430</v>
      </c>
    </row>
    <row r="25" spans="1:11" s="51" customFormat="1" ht="13">
      <c r="A25" s="48" t="s">
        <v>32</v>
      </c>
      <c r="B25" s="57"/>
      <c r="C25" s="55"/>
      <c r="E25" s="75" t="s">
        <v>169</v>
      </c>
      <c r="I25" s="223">
        <f>IF(C8&gt;0,(B8/C8)^(1/D8)-1, "NA")</f>
        <v>7.6396206533192901E-2</v>
      </c>
      <c r="J25" s="223">
        <f>VLOOKUP(B6,'Industry Average Beta (US)'!A2:S95,3)</f>
        <v>0.11099880952380951</v>
      </c>
      <c r="K25" s="224">
        <f>VLOOKUP(B7,'Industry Average Beta (Global)'!A2:N95,3)</f>
        <v>0.10030113861386131</v>
      </c>
    </row>
    <row r="26" spans="1:11" s="51" customFormat="1" ht="13">
      <c r="A26" s="54" t="s">
        <v>742</v>
      </c>
      <c r="B26" s="62">
        <v>40000</v>
      </c>
      <c r="C26" s="55" t="s">
        <v>507</v>
      </c>
      <c r="E26" s="75" t="s">
        <v>170</v>
      </c>
      <c r="I26" s="223">
        <f>'Valuation output'!B8</f>
        <v>0.08</v>
      </c>
      <c r="J26" s="224">
        <f>VLOOKUP(B6,'Industry Average Beta (US)'!A2:AA95,4)</f>
        <v>8.6545889955926644E-2</v>
      </c>
      <c r="K26" s="224">
        <f>VLOOKUP(B7,'Industry Average Beta (Global)'!A2:N95,4)</f>
        <v>9.1785083430522385E-2</v>
      </c>
    </row>
    <row r="27" spans="1:11" s="51" customFormat="1" ht="13">
      <c r="A27" s="54" t="s">
        <v>743</v>
      </c>
      <c r="B27" s="62">
        <v>120000</v>
      </c>
      <c r="C27" s="55"/>
      <c r="E27" s="75" t="s">
        <v>171</v>
      </c>
      <c r="I27" s="225">
        <f>B8/'Valuation output'!B53</f>
        <v>7.6817217885665298E-2</v>
      </c>
      <c r="J27" s="225">
        <f>VLOOKUP(B6,'Industry Average Beta (US)'!A2:S95,14)</f>
        <v>2.7434104399754147</v>
      </c>
      <c r="K27" s="225">
        <f>VLOOKUP(B7,'Industry Average Beta (Global)'!A2:N95,14)</f>
        <v>2.4649199087213018</v>
      </c>
    </row>
    <row r="28" spans="1:11" s="51" customFormat="1" ht="13">
      <c r="A28" s="54" t="s">
        <v>744</v>
      </c>
      <c r="B28" s="62">
        <v>160000</v>
      </c>
      <c r="C28" s="55"/>
      <c r="E28" s="75" t="s">
        <v>172</v>
      </c>
      <c r="I28" s="224">
        <f>'Valuation output'!B14/'Valuation output'!B53</f>
        <v>6.8022154040517979E-2</v>
      </c>
      <c r="J28" s="224">
        <f>VLOOKUP(B6,'Industry Average Beta (US)'!A2:S95,5)</f>
        <v>0.16012360749257398</v>
      </c>
      <c r="K28" s="224">
        <f>VLOOKUP(B7,'Industry Average Beta (Global)'!A2:N95,5)</f>
        <v>0.15462665289829919</v>
      </c>
    </row>
    <row r="29" spans="1:11" s="51" customFormat="1" ht="13">
      <c r="A29" s="54" t="s">
        <v>749</v>
      </c>
      <c r="B29" s="62">
        <v>100000</v>
      </c>
      <c r="C29" s="55"/>
      <c r="E29" s="75" t="s">
        <v>378</v>
      </c>
      <c r="I29" s="142"/>
      <c r="J29" s="226">
        <f>VLOOKUP(B6,'Industry Average Beta (US)'!A2:S95,10)</f>
        <v>0.46452299950863785</v>
      </c>
      <c r="K29" s="224">
        <f>VLOOKUP(B6,'Industry Average Beta (Global)'!A2:Z95,10)</f>
        <v>0.46535363162956778</v>
      </c>
    </row>
    <row r="30" spans="1:11" s="51" customFormat="1" ht="14" thickBot="1">
      <c r="A30" s="54" t="s">
        <v>745</v>
      </c>
      <c r="B30" s="58">
        <v>0.45</v>
      </c>
      <c r="C30" s="55" t="s">
        <v>506</v>
      </c>
      <c r="E30" s="52" t="s">
        <v>377</v>
      </c>
      <c r="F30" s="53"/>
      <c r="G30" s="53"/>
      <c r="H30" s="53"/>
      <c r="I30" s="53"/>
      <c r="J30" s="227">
        <f>VLOOKUP(B6,'Industry Average Beta (US)'!A2:S95,13)</f>
        <v>7.601499077840683E-2</v>
      </c>
      <c r="K30" s="224">
        <f>VLOOKUP(B6,'Industry Average Beta (Global)'!A2:Z95,13)</f>
        <v>0.10143746694099116</v>
      </c>
    </row>
    <row r="31" spans="1:11" s="51" customFormat="1" ht="14" thickBot="1">
      <c r="A31" s="54" t="s">
        <v>746</v>
      </c>
      <c r="B31" s="58">
        <v>0.6</v>
      </c>
      <c r="C31" s="55"/>
    </row>
    <row r="32" spans="1:11" s="51" customFormat="1" ht="13">
      <c r="A32" s="54" t="s">
        <v>747</v>
      </c>
      <c r="B32" s="58">
        <v>0.25</v>
      </c>
      <c r="C32" s="55"/>
      <c r="E32" s="358" t="s">
        <v>508</v>
      </c>
      <c r="F32" s="359"/>
      <c r="G32" s="359"/>
      <c r="H32" s="359"/>
      <c r="I32" s="359"/>
      <c r="J32" s="360"/>
    </row>
    <row r="33" spans="1:14" s="51" customFormat="1" ht="13">
      <c r="A33" s="54" t="s">
        <v>748</v>
      </c>
      <c r="B33" s="58">
        <v>0.3</v>
      </c>
      <c r="C33" s="55"/>
      <c r="E33" s="75" t="s">
        <v>509</v>
      </c>
      <c r="J33" s="222">
        <f>'Valuation output'!M3</f>
        <v>41824</v>
      </c>
    </row>
    <row r="34" spans="1:14" s="51" customFormat="1" ht="13">
      <c r="A34" s="54" t="s">
        <v>558</v>
      </c>
      <c r="B34" s="59">
        <v>10</v>
      </c>
      <c r="C34" s="55" t="s">
        <v>559</v>
      </c>
      <c r="E34" s="75" t="s">
        <v>511</v>
      </c>
      <c r="J34" s="222">
        <f>'Valuation output'!M12</f>
        <v>167296</v>
      </c>
    </row>
    <row r="35" spans="1:14" s="51" customFormat="1" ht="13">
      <c r="A35" s="54"/>
      <c r="B35" s="250" t="s">
        <v>527</v>
      </c>
      <c r="C35" s="251" t="s">
        <v>528</v>
      </c>
      <c r="E35" s="75" t="s">
        <v>510</v>
      </c>
      <c r="J35" s="223">
        <f>'Valuation output'!L54</f>
        <v>1.8997167663021206</v>
      </c>
    </row>
    <row r="36" spans="1:14" s="51" customFormat="1" ht="14" thickBot="1">
      <c r="A36" s="306" t="s">
        <v>750</v>
      </c>
      <c r="B36" s="59">
        <v>3</v>
      </c>
      <c r="C36" s="59">
        <v>4</v>
      </c>
      <c r="D36" s="55" t="s">
        <v>619</v>
      </c>
      <c r="E36" s="214" t="s">
        <v>512</v>
      </c>
      <c r="F36" s="53"/>
      <c r="G36" s="53"/>
      <c r="H36" s="53"/>
      <c r="I36" s="53"/>
      <c r="J36" s="215"/>
    </row>
    <row r="37" spans="1:14" s="51" customFormat="1" ht="13">
      <c r="A37" s="51" t="s">
        <v>751</v>
      </c>
      <c r="B37" s="59">
        <v>3</v>
      </c>
      <c r="C37" s="59">
        <v>5</v>
      </c>
      <c r="D37" s="55"/>
      <c r="E37" s="64"/>
    </row>
    <row r="38" spans="1:14" s="51" customFormat="1" ht="13">
      <c r="A38" s="51" t="s">
        <v>752</v>
      </c>
      <c r="B38" s="59">
        <v>1.5</v>
      </c>
      <c r="C38" s="59">
        <v>2.5</v>
      </c>
      <c r="D38" s="55"/>
      <c r="E38" s="64"/>
    </row>
    <row r="39" spans="1:14" s="51" customFormat="1" ht="13">
      <c r="A39" s="51" t="s">
        <v>753</v>
      </c>
      <c r="B39" s="59">
        <v>5</v>
      </c>
      <c r="C39" s="59">
        <v>5</v>
      </c>
      <c r="D39" s="55"/>
      <c r="E39" s="64"/>
    </row>
    <row r="40" spans="1:14" s="51" customFormat="1" ht="14" thickBot="1">
      <c r="A40" s="48" t="s">
        <v>33</v>
      </c>
      <c r="B40" s="60"/>
      <c r="C40" s="55"/>
    </row>
    <row r="41" spans="1:14" s="51" customFormat="1" ht="14" customHeight="1">
      <c r="A41" s="54" t="s">
        <v>24</v>
      </c>
      <c r="B41" s="58">
        <v>4.5600000000000002E-2</v>
      </c>
      <c r="C41" s="55"/>
      <c r="E41" s="252" t="s">
        <v>39</v>
      </c>
      <c r="F41" s="49"/>
      <c r="G41" s="49"/>
      <c r="H41" s="253">
        <f>'Valuation output'!B35</f>
        <v>1224448.0064890804</v>
      </c>
    </row>
    <row r="42" spans="1:14" s="51" customFormat="1" ht="14" customHeight="1">
      <c r="A42" s="54" t="s">
        <v>34</v>
      </c>
      <c r="B42" s="58">
        <f>'Cost of capital worksheet'!E50</f>
        <v>8.3745022599814103E-2</v>
      </c>
      <c r="C42" s="55"/>
      <c r="E42" s="75" t="s">
        <v>626</v>
      </c>
      <c r="H42" s="253">
        <f>'Valuation output'!B42</f>
        <v>1301299.0064890804</v>
      </c>
    </row>
    <row r="43" spans="1:14" s="64" customFormat="1" ht="14" customHeight="1" thickBot="1">
      <c r="A43" s="48" t="s">
        <v>84</v>
      </c>
      <c r="B43" s="61"/>
      <c r="C43" s="61"/>
      <c r="D43" s="55"/>
      <c r="E43" s="52" t="s">
        <v>519</v>
      </c>
      <c r="F43" s="53"/>
      <c r="G43" s="53"/>
      <c r="H43" s="253">
        <f ca="1">'Valuation output'!B44</f>
        <v>97.827655220782944</v>
      </c>
      <c r="I43" s="51"/>
      <c r="J43" s="51"/>
      <c r="K43" s="51"/>
      <c r="L43" s="51"/>
      <c r="M43" s="51"/>
      <c r="N43" s="51"/>
    </row>
    <row r="44" spans="1:14" s="51" customFormat="1" ht="14">
      <c r="A44" s="51" t="s">
        <v>241</v>
      </c>
      <c r="B44" s="58" t="s">
        <v>46</v>
      </c>
      <c r="C44"/>
      <c r="D44" s="55"/>
    </row>
    <row r="45" spans="1:14" s="51" customFormat="1" ht="13">
      <c r="A45" s="51" t="s">
        <v>85</v>
      </c>
      <c r="B45" s="59">
        <f>115.79*3</f>
        <v>347.37</v>
      </c>
      <c r="C45" s="221"/>
      <c r="D45" s="55"/>
      <c r="N45" s="64"/>
    </row>
    <row r="46" spans="1:14" s="64" customFormat="1" ht="13">
      <c r="A46" s="51" t="s">
        <v>86</v>
      </c>
      <c r="B46" s="62">
        <f>83.15/3</f>
        <v>27.716666666666669</v>
      </c>
      <c r="C46" s="220"/>
      <c r="D46" s="55"/>
      <c r="N46" s="51"/>
    </row>
    <row r="47" spans="1:14" s="51" customFormat="1" ht="13">
      <c r="A47" s="51" t="s">
        <v>87</v>
      </c>
      <c r="B47" s="59">
        <v>6.11</v>
      </c>
      <c r="C47" s="221"/>
      <c r="D47" s="55"/>
    </row>
    <row r="48" spans="1:14" s="51" customFormat="1" ht="13">
      <c r="A48" s="51" t="s">
        <v>88</v>
      </c>
      <c r="B48" s="58">
        <v>0.4</v>
      </c>
      <c r="C48" s="55"/>
      <c r="N48" s="64"/>
    </row>
    <row r="49" spans="1:14" s="51" customFormat="1" ht="13">
      <c r="B49" s="63"/>
      <c r="C49" s="61"/>
      <c r="D49" s="55"/>
      <c r="H49" s="64"/>
      <c r="I49" s="64"/>
      <c r="J49" s="64"/>
      <c r="K49" s="64"/>
      <c r="L49" s="64"/>
      <c r="M49" s="64"/>
    </row>
    <row r="50" spans="1:14" s="51" customFormat="1" ht="13">
      <c r="A50" s="353" t="s">
        <v>101</v>
      </c>
      <c r="B50" s="353"/>
      <c r="C50" s="71"/>
      <c r="D50" s="55"/>
    </row>
    <row r="51" spans="1:14" s="51" customFormat="1" ht="13">
      <c r="A51" s="64" t="s">
        <v>102</v>
      </c>
      <c r="B51" s="64"/>
      <c r="C51" s="72"/>
      <c r="D51" s="55"/>
    </row>
    <row r="52" spans="1:14" s="51" customFormat="1" ht="13">
      <c r="A52" s="51" t="s">
        <v>35</v>
      </c>
      <c r="B52" s="65" t="s">
        <v>52</v>
      </c>
      <c r="C52" s="55" t="s">
        <v>49</v>
      </c>
    </row>
    <row r="53" spans="1:14" s="51" customFormat="1" ht="13">
      <c r="A53" s="51" t="s">
        <v>37</v>
      </c>
      <c r="B53" s="58">
        <v>8.2500000000000004E-2</v>
      </c>
      <c r="C53" s="55" t="s">
        <v>138</v>
      </c>
    </row>
    <row r="54" spans="1:14" s="51" customFormat="1" ht="13">
      <c r="A54" s="64" t="s">
        <v>103</v>
      </c>
      <c r="B54" s="64"/>
      <c r="C54" s="55"/>
      <c r="D54" s="64"/>
    </row>
    <row r="55" spans="1:14" s="51" customFormat="1" ht="13">
      <c r="A55" s="51" t="s">
        <v>35</v>
      </c>
      <c r="B55" s="65" t="s">
        <v>52</v>
      </c>
      <c r="C55" s="55" t="s">
        <v>48</v>
      </c>
    </row>
    <row r="56" spans="1:14" s="51" customFormat="1" ht="13">
      <c r="A56" s="51" t="s">
        <v>36</v>
      </c>
      <c r="B56" s="66">
        <v>0.15</v>
      </c>
      <c r="C56" s="55" t="s">
        <v>139</v>
      </c>
    </row>
    <row r="57" spans="1:14" s="51" customFormat="1" ht="13">
      <c r="A57" s="64" t="s">
        <v>134</v>
      </c>
      <c r="C57" s="55"/>
    </row>
    <row r="58" spans="1:14" s="51" customFormat="1" ht="13">
      <c r="A58" s="51" t="s">
        <v>35</v>
      </c>
      <c r="B58" s="65" t="s">
        <v>46</v>
      </c>
      <c r="C58" s="55" t="s">
        <v>109</v>
      </c>
    </row>
    <row r="59" spans="1:14" s="51" customFormat="1" ht="13">
      <c r="A59" s="51" t="s">
        <v>104</v>
      </c>
      <c r="B59" s="66">
        <v>0</v>
      </c>
      <c r="C59" s="55" t="s">
        <v>50</v>
      </c>
    </row>
    <row r="60" spans="1:14" s="51" customFormat="1" ht="13">
      <c r="A60" s="51" t="s">
        <v>107</v>
      </c>
      <c r="B60" s="66" t="s">
        <v>231</v>
      </c>
      <c r="C60" s="55" t="s">
        <v>98</v>
      </c>
    </row>
    <row r="61" spans="1:14" s="51" customFormat="1" ht="13">
      <c r="A61" s="51" t="s">
        <v>232</v>
      </c>
      <c r="B61" s="66">
        <v>0.5</v>
      </c>
      <c r="C61" s="55" t="s">
        <v>108</v>
      </c>
    </row>
    <row r="62" spans="1:14" s="216" customFormat="1" ht="13">
      <c r="A62" s="64" t="s">
        <v>136</v>
      </c>
      <c r="B62" s="67"/>
      <c r="C62" s="55"/>
      <c r="D62" s="51"/>
      <c r="H62" s="64"/>
      <c r="I62" s="64"/>
      <c r="J62" s="64"/>
      <c r="K62" s="64"/>
      <c r="L62" s="64"/>
      <c r="M62" s="64"/>
      <c r="N62" s="64"/>
    </row>
    <row r="63" spans="1:14" ht="13">
      <c r="A63" s="51" t="s">
        <v>35</v>
      </c>
      <c r="B63" s="66" t="s">
        <v>46</v>
      </c>
      <c r="C63" s="55"/>
      <c r="D63" s="51"/>
      <c r="H63" s="51"/>
      <c r="I63" s="51"/>
      <c r="J63" s="51"/>
      <c r="K63" s="51"/>
      <c r="L63" s="51"/>
      <c r="M63" s="51"/>
      <c r="N63" s="51"/>
    </row>
    <row r="64" spans="1:14" ht="13">
      <c r="A64" s="64" t="s">
        <v>133</v>
      </c>
      <c r="B64" s="51"/>
      <c r="C64" s="55"/>
      <c r="D64" s="51"/>
      <c r="H64" s="51"/>
      <c r="I64" s="51"/>
      <c r="J64" s="51"/>
      <c r="K64" s="51"/>
      <c r="L64" s="51"/>
      <c r="M64" s="51"/>
    </row>
    <row r="65" spans="1:4" ht="13">
      <c r="A65" s="51" t="s">
        <v>35</v>
      </c>
      <c r="B65" s="65" t="s">
        <v>46</v>
      </c>
      <c r="C65" s="55" t="s">
        <v>51</v>
      </c>
      <c r="D65" s="51"/>
    </row>
    <row r="66" spans="1:4" ht="13">
      <c r="A66" s="51" t="s">
        <v>44</v>
      </c>
      <c r="B66" s="62">
        <v>250</v>
      </c>
      <c r="C66" s="55" t="s">
        <v>140</v>
      </c>
      <c r="D66" s="51"/>
    </row>
    <row r="67" spans="1:4" ht="13">
      <c r="A67" s="51" t="s">
        <v>516</v>
      </c>
      <c r="B67" s="220"/>
      <c r="C67" s="55"/>
      <c r="D67" s="51"/>
    </row>
    <row r="68" spans="1:4" ht="13">
      <c r="A68" s="51" t="s">
        <v>35</v>
      </c>
      <c r="B68" s="62" t="s">
        <v>46</v>
      </c>
      <c r="C68" s="55"/>
      <c r="D68" s="51"/>
    </row>
    <row r="69" spans="1:4" ht="13">
      <c r="A69" s="51" t="s">
        <v>517</v>
      </c>
      <c r="B69" s="219">
        <v>0.01</v>
      </c>
      <c r="C69" s="55" t="s">
        <v>518</v>
      </c>
      <c r="D69" s="51"/>
    </row>
    <row r="70" spans="1:4">
      <c r="A70" s="216" t="s">
        <v>521</v>
      </c>
      <c r="B70" s="216"/>
      <c r="C70" s="216"/>
      <c r="D70" s="216"/>
    </row>
    <row r="71" spans="1:4">
      <c r="A71" s="4" t="s">
        <v>513</v>
      </c>
      <c r="B71" s="217" t="s">
        <v>46</v>
      </c>
    </row>
    <row r="72" spans="1:4" ht="13">
      <c r="A72" s="4" t="s">
        <v>524</v>
      </c>
      <c r="B72" s="155">
        <v>140000</v>
      </c>
      <c r="C72" s="229" t="s">
        <v>522</v>
      </c>
    </row>
    <row r="73" spans="1:4">
      <c r="A73" s="228" t="s">
        <v>514</v>
      </c>
      <c r="B73" s="218">
        <v>0.15</v>
      </c>
      <c r="C73" s="229" t="s">
        <v>523</v>
      </c>
    </row>
    <row r="74" spans="1:4">
      <c r="A74" s="122"/>
    </row>
  </sheetData>
  <mergeCells count="3">
    <mergeCell ref="A50:B50"/>
    <mergeCell ref="A3:J3"/>
    <mergeCell ref="E32:J32"/>
  </mergeCells>
  <phoneticPr fontId="6" type="noConversion"/>
  <dataValidations count="1">
    <dataValidation type="decimal" allowBlank="1" showInputMessage="1" showErrorMessage="1" promptTitle="No negative tax rates" prompt="While it is possible for an effective tax rate to be less than 0% or greater than 100% in any given year, it is dangerous to build off these tax rates for making future projections. If less than zero, enter zero. If greater than the 100%, go with the marg" sqref="B23" xr:uid="{526F03C6-E351-D94F-A91F-F03FF5984B21}">
      <formula1>0</formula1>
      <formula2>1</formula2>
    </dataValidation>
  </dataValidations>
  <pageMargins left="0.75" right="0.75" top="1" bottom="1" header="0.5" footer="0.5"/>
  <pageSetup orientation="portrait" horizontalDpi="4294967292" verticalDpi="4294967292"/>
  <headerFooter alignWithMargins="0"/>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1000000}">
          <x14:formula1>
            <xm:f>'Country equity risk premiums'!$A$5:$A$190</xm:f>
          </x14:formula1>
          <xm:sqref>B5</xm:sqref>
        </x14:dataValidation>
        <x14:dataValidation type="list" allowBlank="1" showInputMessage="1" showErrorMessage="1" xr:uid="{00000000-0002-0000-0000-000002000000}">
          <x14:formula1>
            <xm:f>'Industry Average Beta (US)'!$A$2:$A$95</xm:f>
          </x14:formula1>
          <xm:sqref>B6</xm:sqref>
        </x14:dataValidation>
        <x14:dataValidation type="list" allowBlank="1" showInputMessage="1" showErrorMessage="1" xr:uid="{00000000-0002-0000-0000-000003000000}">
          <x14:formula1>
            <xm:f>'Industry Average Beta (Global)'!$A$2:$A$95</xm:f>
          </x14:formula1>
          <xm:sqref>B7</xm:sqref>
        </x14:dataValidation>
        <x14:dataValidation type="list" allowBlank="1" showInputMessage="1" showErrorMessage="1" xr:uid="{00000000-0002-0000-0000-000004000000}">
          <x14:formula1>
            <xm:f>'Answer keys'!$A$2:$A$3</xm:f>
          </x14:formula1>
          <xm:sqref>B15:B16 B44 B52 B55 B58 B63 B65 B68 B71</xm:sqref>
        </x14:dataValidation>
        <x14:dataValidation type="list" allowBlank="1" showInputMessage="1" showErrorMessage="1" xr:uid="{00000000-0002-0000-0000-000005000000}">
          <x14:formula1>
            <xm:f>'Answer keys'!$B$2:$B$3</xm:f>
          </x14:formula1>
          <xm:sqref>B60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28"/>
  <sheetViews>
    <sheetView workbookViewId="0">
      <selection activeCell="D15" sqref="D15"/>
    </sheetView>
  </sheetViews>
  <sheetFormatPr baseColWidth="10" defaultRowHeight="13"/>
  <cols>
    <col min="1" max="1" width="27.5" bestFit="1" customWidth="1"/>
    <col min="2" max="2" width="15" bestFit="1" customWidth="1"/>
    <col min="3" max="3" width="18.5" bestFit="1" customWidth="1"/>
    <col min="4" max="4" width="21" bestFit="1" customWidth="1"/>
    <col min="5" max="5" width="20" bestFit="1" customWidth="1"/>
    <col min="6" max="6" width="17.6640625" bestFit="1" customWidth="1"/>
    <col min="7" max="7" width="29.6640625" customWidth="1"/>
  </cols>
  <sheetData>
    <row r="1" spans="1:6">
      <c r="A1" t="s">
        <v>607</v>
      </c>
      <c r="B1" s="242">
        <v>4.2299999999999997E-2</v>
      </c>
      <c r="C1" t="s">
        <v>760</v>
      </c>
      <c r="D1" s="153"/>
    </row>
    <row r="2" spans="1:6" ht="14">
      <c r="A2" s="254" t="s">
        <v>627</v>
      </c>
      <c r="B2" s="254"/>
      <c r="C2" s="254"/>
      <c r="D2" s="311"/>
      <c r="E2" s="254"/>
      <c r="F2" s="254"/>
    </row>
    <row r="3" spans="1:6">
      <c r="D3" s="153"/>
    </row>
    <row r="4" spans="1:6" ht="16">
      <c r="A4" s="312" t="s">
        <v>347</v>
      </c>
      <c r="B4" s="313" t="s">
        <v>560</v>
      </c>
      <c r="C4" s="314" t="s">
        <v>348</v>
      </c>
      <c r="D4" s="315" t="s">
        <v>561</v>
      </c>
      <c r="E4" s="316" t="s">
        <v>349</v>
      </c>
      <c r="F4" s="316" t="s">
        <v>515</v>
      </c>
    </row>
    <row r="5" spans="1:6" ht="16">
      <c r="A5" s="317" t="s">
        <v>477</v>
      </c>
      <c r="B5" s="318" t="s">
        <v>562</v>
      </c>
      <c r="C5" s="319">
        <v>4.1999999999999997E-3</v>
      </c>
      <c r="D5" s="319">
        <f>$B$1+E5</f>
        <v>4.87E-2</v>
      </c>
      <c r="E5" s="320">
        <v>6.4000000000000003E-3</v>
      </c>
      <c r="F5" s="321">
        <v>0.09</v>
      </c>
    </row>
    <row r="6" spans="1:6" ht="16">
      <c r="A6" s="317" t="s">
        <v>243</v>
      </c>
      <c r="B6" s="318" t="s">
        <v>572</v>
      </c>
      <c r="C6" s="319">
        <v>3.0599999999999999E-2</v>
      </c>
      <c r="D6" s="319">
        <f t="shared" ref="D6:D69" si="0">$B$1+E6</f>
        <v>8.8900000000000007E-2</v>
      </c>
      <c r="E6" s="320">
        <v>4.6600000000000003E-2</v>
      </c>
      <c r="F6" s="321">
        <v>0.15</v>
      </c>
    </row>
    <row r="7" spans="1:6" ht="16">
      <c r="A7" s="322" t="s">
        <v>564</v>
      </c>
      <c r="B7" s="318" t="s">
        <v>628</v>
      </c>
      <c r="C7" s="319">
        <v>3.8300000000000001E-2</v>
      </c>
      <c r="D7" s="319">
        <f t="shared" si="0"/>
        <v>0.10059999999999999</v>
      </c>
      <c r="E7" s="320">
        <v>5.8299999999999998E-2</v>
      </c>
      <c r="F7" s="321">
        <v>0.1007</v>
      </c>
    </row>
    <row r="8" spans="1:6" ht="16">
      <c r="A8" s="317" t="s">
        <v>495</v>
      </c>
      <c r="B8" s="318" t="s">
        <v>567</v>
      </c>
      <c r="C8" s="319">
        <v>1.3599999999999999E-2</v>
      </c>
      <c r="D8" s="319">
        <f t="shared" si="0"/>
        <v>6.3E-2</v>
      </c>
      <c r="E8" s="320">
        <v>2.07E-2</v>
      </c>
      <c r="F8" s="321">
        <v>0.1</v>
      </c>
    </row>
    <row r="9" spans="1:6" ht="16">
      <c r="A9" s="317" t="s">
        <v>244</v>
      </c>
      <c r="B9" s="318" t="s">
        <v>575</v>
      </c>
      <c r="C9" s="319">
        <v>5.5199999999999999E-2</v>
      </c>
      <c r="D9" s="319">
        <f t="shared" si="0"/>
        <v>0.12639999999999998</v>
      </c>
      <c r="E9" s="320">
        <v>8.4099999999999994E-2</v>
      </c>
      <c r="F9" s="321">
        <v>0.25</v>
      </c>
    </row>
    <row r="10" spans="1:6" ht="16">
      <c r="A10" s="317" t="s">
        <v>761</v>
      </c>
      <c r="B10" s="318" t="s">
        <v>628</v>
      </c>
      <c r="C10" s="319">
        <v>4.9151830261848689E-2</v>
      </c>
      <c r="D10" s="319">
        <f t="shared" si="0"/>
        <v>0.117176823349771</v>
      </c>
      <c r="E10" s="320">
        <v>7.4876823349770999E-2</v>
      </c>
      <c r="F10" s="321">
        <v>0.26526547543374851</v>
      </c>
    </row>
    <row r="11" spans="1:6" ht="16">
      <c r="A11" s="317" t="s">
        <v>762</v>
      </c>
      <c r="B11" s="318" t="s">
        <v>628</v>
      </c>
      <c r="C11" s="319">
        <v>2.7785941866780777E-2</v>
      </c>
      <c r="D11" s="319">
        <f t="shared" si="0"/>
        <v>8.4628496206189827E-2</v>
      </c>
      <c r="E11" s="320">
        <v>4.2328496206189829E-2</v>
      </c>
      <c r="F11" s="321">
        <v>0.31546691365656965</v>
      </c>
    </row>
    <row r="12" spans="1:6" ht="16">
      <c r="A12" s="317" t="s">
        <v>245</v>
      </c>
      <c r="B12" s="318" t="s">
        <v>573</v>
      </c>
      <c r="C12" s="319">
        <v>6.3700000000000007E-2</v>
      </c>
      <c r="D12" s="319">
        <f t="shared" si="0"/>
        <v>0.1394</v>
      </c>
      <c r="E12" s="320">
        <v>9.7100000000000006E-2</v>
      </c>
      <c r="F12" s="321">
        <v>0.35</v>
      </c>
    </row>
    <row r="13" spans="1:6" ht="16">
      <c r="A13" s="317" t="s">
        <v>246</v>
      </c>
      <c r="B13" s="318" t="s">
        <v>572</v>
      </c>
      <c r="C13" s="319">
        <v>3.0599999999999999E-2</v>
      </c>
      <c r="D13" s="319">
        <f t="shared" si="0"/>
        <v>8.8900000000000007E-2</v>
      </c>
      <c r="E13" s="320">
        <v>4.6600000000000003E-2</v>
      </c>
      <c r="F13" s="321">
        <v>0.18</v>
      </c>
    </row>
    <row r="14" spans="1:6" ht="16">
      <c r="A14" s="317" t="s">
        <v>247</v>
      </c>
      <c r="B14" s="318" t="s">
        <v>571</v>
      </c>
      <c r="C14" s="319">
        <v>1.8700000000000001E-2</v>
      </c>
      <c r="D14" s="319">
        <f t="shared" si="0"/>
        <v>7.0800000000000002E-2</v>
      </c>
      <c r="E14" s="320">
        <v>2.8500000000000001E-2</v>
      </c>
      <c r="F14" s="321">
        <v>0.22</v>
      </c>
    </row>
    <row r="15" spans="1:6" ht="16">
      <c r="A15" s="317" t="s">
        <v>248</v>
      </c>
      <c r="B15" s="318" t="s">
        <v>568</v>
      </c>
      <c r="C15" s="319">
        <v>0</v>
      </c>
      <c r="D15" s="319">
        <f t="shared" si="0"/>
        <v>4.2299999999999997E-2</v>
      </c>
      <c r="E15" s="320">
        <v>0</v>
      </c>
      <c r="F15" s="321">
        <v>0.3</v>
      </c>
    </row>
    <row r="16" spans="1:6" ht="16">
      <c r="A16" s="317" t="s">
        <v>249</v>
      </c>
      <c r="B16" s="318" t="s">
        <v>569</v>
      </c>
      <c r="C16" s="319">
        <v>2.3E-3</v>
      </c>
      <c r="D16" s="319">
        <f t="shared" si="0"/>
        <v>4.5899999999999996E-2</v>
      </c>
      <c r="E16" s="320">
        <v>3.5999999999999999E-3</v>
      </c>
      <c r="F16" s="321">
        <v>0.23</v>
      </c>
    </row>
    <row r="17" spans="1:6" ht="16">
      <c r="A17" s="317" t="s">
        <v>355</v>
      </c>
      <c r="B17" s="318" t="s">
        <v>571</v>
      </c>
      <c r="C17" s="319">
        <v>1.8700000000000001E-2</v>
      </c>
      <c r="D17" s="319">
        <f t="shared" si="0"/>
        <v>7.0800000000000002E-2</v>
      </c>
      <c r="E17" s="320">
        <v>2.8500000000000001E-2</v>
      </c>
      <c r="F17" s="321">
        <v>0.2</v>
      </c>
    </row>
    <row r="18" spans="1:6" ht="16">
      <c r="A18" s="317" t="s">
        <v>250</v>
      </c>
      <c r="B18" s="318" t="s">
        <v>563</v>
      </c>
      <c r="C18" s="319">
        <v>3.8300000000000001E-2</v>
      </c>
      <c r="D18" s="319">
        <f t="shared" si="0"/>
        <v>0.10059999999999999</v>
      </c>
      <c r="E18" s="320">
        <v>5.8299999999999998E-2</v>
      </c>
      <c r="F18" s="321">
        <v>0</v>
      </c>
    </row>
    <row r="19" spans="1:6" ht="16">
      <c r="A19" s="317" t="s">
        <v>251</v>
      </c>
      <c r="B19" s="318" t="s">
        <v>566</v>
      </c>
      <c r="C19" s="319">
        <v>4.6699999999999998E-2</v>
      </c>
      <c r="D19" s="319">
        <f t="shared" si="0"/>
        <v>0.11349999999999999</v>
      </c>
      <c r="E19" s="320">
        <v>7.1199999999999999E-2</v>
      </c>
      <c r="F19" s="321">
        <v>0</v>
      </c>
    </row>
    <row r="20" spans="1:6" ht="16">
      <c r="A20" s="317" t="s">
        <v>252</v>
      </c>
      <c r="B20" s="318" t="s">
        <v>566</v>
      </c>
      <c r="C20" s="319">
        <v>4.6699999999999998E-2</v>
      </c>
      <c r="D20" s="319">
        <f t="shared" si="0"/>
        <v>0.11349999999999999</v>
      </c>
      <c r="E20" s="320">
        <v>7.1199999999999999E-2</v>
      </c>
      <c r="F20" s="321">
        <v>0.27500000000000002</v>
      </c>
    </row>
    <row r="21" spans="1:6" ht="16">
      <c r="A21" s="317" t="s">
        <v>253</v>
      </c>
      <c r="B21" s="318" t="s">
        <v>566</v>
      </c>
      <c r="C21" s="319">
        <v>4.6699999999999998E-2</v>
      </c>
      <c r="D21" s="319">
        <f t="shared" si="0"/>
        <v>0.11349999999999999</v>
      </c>
      <c r="E21" s="320">
        <v>7.1199999999999999E-2</v>
      </c>
      <c r="F21" s="321">
        <v>0.09</v>
      </c>
    </row>
    <row r="22" spans="1:6" ht="16">
      <c r="A22" s="317" t="s">
        <v>254</v>
      </c>
      <c r="B22" s="318" t="s">
        <v>609</v>
      </c>
      <c r="C22" s="319">
        <v>0.17499999999999999</v>
      </c>
      <c r="D22" s="319">
        <f t="shared" si="0"/>
        <v>0.30890000000000001</v>
      </c>
      <c r="E22" s="320">
        <v>0.2666</v>
      </c>
      <c r="F22" s="321">
        <v>0.25</v>
      </c>
    </row>
    <row r="23" spans="1:6" ht="16">
      <c r="A23" s="317" t="s">
        <v>255</v>
      </c>
      <c r="B23" s="318" t="s">
        <v>574</v>
      </c>
      <c r="C23" s="319">
        <v>5.1000000000000004E-3</v>
      </c>
      <c r="D23" s="319">
        <f t="shared" si="0"/>
        <v>5.0099999999999999E-2</v>
      </c>
      <c r="E23" s="320">
        <v>7.7999999999999996E-3</v>
      </c>
      <c r="F23" s="321">
        <v>0.25</v>
      </c>
    </row>
    <row r="24" spans="1:6" ht="16">
      <c r="A24" s="317" t="s">
        <v>358</v>
      </c>
      <c r="B24" s="318" t="s">
        <v>573</v>
      </c>
      <c r="C24" s="319">
        <v>6.3700000000000007E-2</v>
      </c>
      <c r="D24" s="319">
        <f t="shared" si="0"/>
        <v>0.1394</v>
      </c>
      <c r="E24" s="320">
        <v>9.7100000000000006E-2</v>
      </c>
      <c r="F24" s="321">
        <v>0</v>
      </c>
    </row>
    <row r="25" spans="1:6" ht="16">
      <c r="A25" s="317" t="s">
        <v>576</v>
      </c>
      <c r="B25" s="318" t="s">
        <v>563</v>
      </c>
      <c r="C25" s="319">
        <v>3.8300000000000001E-2</v>
      </c>
      <c r="D25" s="319">
        <f t="shared" si="0"/>
        <v>0.10059999999999999</v>
      </c>
      <c r="E25" s="320">
        <v>5.8299999999999998E-2</v>
      </c>
      <c r="F25" s="321">
        <v>0.3</v>
      </c>
    </row>
    <row r="26" spans="1:6" ht="16">
      <c r="A26" s="317" t="s">
        <v>256</v>
      </c>
      <c r="B26" s="318" t="s">
        <v>577</v>
      </c>
      <c r="C26" s="319">
        <v>7.1999999999999998E-3</v>
      </c>
      <c r="D26" s="319">
        <f t="shared" si="0"/>
        <v>5.33E-2</v>
      </c>
      <c r="E26" s="320">
        <v>1.0999999999999999E-2</v>
      </c>
      <c r="F26" s="321">
        <v>0</v>
      </c>
    </row>
    <row r="27" spans="1:6" ht="16">
      <c r="A27" s="317" t="s">
        <v>257</v>
      </c>
      <c r="B27" s="318" t="s">
        <v>629</v>
      </c>
      <c r="C27" s="319">
        <v>0.10199999999999999</v>
      </c>
      <c r="D27" s="319">
        <f t="shared" si="0"/>
        <v>0.19770000000000001</v>
      </c>
      <c r="E27" s="320">
        <v>0.15540000000000001</v>
      </c>
      <c r="F27" s="321">
        <v>0.25</v>
      </c>
    </row>
    <row r="28" spans="1:6" ht="16">
      <c r="A28" s="317" t="s">
        <v>258</v>
      </c>
      <c r="B28" s="318" t="s">
        <v>575</v>
      </c>
      <c r="C28" s="319">
        <v>5.5199999999999999E-2</v>
      </c>
      <c r="D28" s="319">
        <f t="shared" si="0"/>
        <v>0.12639999999999998</v>
      </c>
      <c r="E28" s="320">
        <v>8.4099999999999994E-2</v>
      </c>
      <c r="F28" s="321">
        <v>0.1</v>
      </c>
    </row>
    <row r="29" spans="1:6" ht="16">
      <c r="A29" s="317" t="s">
        <v>259</v>
      </c>
      <c r="B29" s="318" t="s">
        <v>567</v>
      </c>
      <c r="C29" s="319">
        <v>1.3599999999999999E-2</v>
      </c>
      <c r="D29" s="319">
        <f t="shared" si="0"/>
        <v>6.3E-2</v>
      </c>
      <c r="E29" s="320">
        <v>2.07E-2</v>
      </c>
      <c r="F29" s="321">
        <v>0.22</v>
      </c>
    </row>
    <row r="30" spans="1:6" ht="16">
      <c r="A30" s="317" t="s">
        <v>260</v>
      </c>
      <c r="B30" s="318" t="s">
        <v>583</v>
      </c>
      <c r="C30" s="319">
        <v>2.1299999999999999E-2</v>
      </c>
      <c r="D30" s="319">
        <f t="shared" si="0"/>
        <v>7.4699999999999989E-2</v>
      </c>
      <c r="E30" s="320">
        <v>3.2399999999999998E-2</v>
      </c>
      <c r="F30" s="321">
        <v>0.34</v>
      </c>
    </row>
    <row r="31" spans="1:6" ht="16">
      <c r="A31" s="317" t="s">
        <v>763</v>
      </c>
      <c r="B31" s="318" t="s">
        <v>628</v>
      </c>
      <c r="C31" s="319">
        <v>4.9151830261848689E-2</v>
      </c>
      <c r="D31" s="319">
        <f t="shared" si="0"/>
        <v>0.117176823349771</v>
      </c>
      <c r="E31" s="320">
        <v>7.4876823349770999E-2</v>
      </c>
      <c r="F31" s="321">
        <v>0.26526547543374851</v>
      </c>
    </row>
    <row r="32" spans="1:6" ht="16">
      <c r="A32" s="323" t="s">
        <v>578</v>
      </c>
      <c r="B32" s="318" t="s">
        <v>628</v>
      </c>
      <c r="C32" s="319">
        <v>5.1000000000000004E-3</v>
      </c>
      <c r="D32" s="319">
        <f t="shared" si="0"/>
        <v>5.0099999999999999E-2</v>
      </c>
      <c r="E32" s="320">
        <v>7.7999999999999996E-3</v>
      </c>
      <c r="F32" s="321">
        <v>5.0200000000000002E-2</v>
      </c>
    </row>
    <row r="33" spans="1:6" ht="16">
      <c r="A33" s="317" t="s">
        <v>261</v>
      </c>
      <c r="B33" s="318" t="s">
        <v>567</v>
      </c>
      <c r="C33" s="319">
        <v>1.3599999999999999E-2</v>
      </c>
      <c r="D33" s="319">
        <f t="shared" si="0"/>
        <v>6.3E-2</v>
      </c>
      <c r="E33" s="320">
        <v>2.07E-2</v>
      </c>
      <c r="F33" s="321">
        <v>0.1</v>
      </c>
    </row>
    <row r="34" spans="1:6" ht="16">
      <c r="A34" s="317" t="s">
        <v>478</v>
      </c>
      <c r="B34" s="318" t="s">
        <v>573</v>
      </c>
      <c r="C34" s="319">
        <v>6.3700000000000007E-2</v>
      </c>
      <c r="D34" s="319">
        <f t="shared" si="0"/>
        <v>0.1394</v>
      </c>
      <c r="E34" s="320">
        <v>9.7100000000000006E-2</v>
      </c>
      <c r="F34" s="321">
        <v>0.27500000000000002</v>
      </c>
    </row>
    <row r="35" spans="1:6" ht="16">
      <c r="A35" s="317" t="s">
        <v>262</v>
      </c>
      <c r="B35" s="318" t="s">
        <v>566</v>
      </c>
      <c r="C35" s="319">
        <v>4.6699999999999998E-2</v>
      </c>
      <c r="D35" s="319">
        <f t="shared" si="0"/>
        <v>0.11349999999999999</v>
      </c>
      <c r="E35" s="320">
        <v>7.1199999999999999E-2</v>
      </c>
      <c r="F35" s="321">
        <v>0.2</v>
      </c>
    </row>
    <row r="36" spans="1:6" ht="16">
      <c r="A36" s="317" t="s">
        <v>479</v>
      </c>
      <c r="B36" s="318" t="s">
        <v>573</v>
      </c>
      <c r="C36" s="319">
        <v>6.3700000000000007E-2</v>
      </c>
      <c r="D36" s="319">
        <f t="shared" si="0"/>
        <v>0.1394</v>
      </c>
      <c r="E36" s="320">
        <v>9.7100000000000006E-2</v>
      </c>
      <c r="F36" s="321">
        <v>0.33</v>
      </c>
    </row>
    <row r="37" spans="1:6" ht="16">
      <c r="A37" s="317" t="s">
        <v>263</v>
      </c>
      <c r="B37" s="318" t="s">
        <v>568</v>
      </c>
      <c r="C37" s="319">
        <v>0</v>
      </c>
      <c r="D37" s="319">
        <f t="shared" si="0"/>
        <v>4.2299999999999997E-2</v>
      </c>
      <c r="E37" s="320">
        <v>0</v>
      </c>
      <c r="F37" s="321">
        <v>0.26140000000000002</v>
      </c>
    </row>
    <row r="38" spans="1:6" ht="16">
      <c r="A38" s="317" t="s">
        <v>480</v>
      </c>
      <c r="B38" s="318" t="s">
        <v>566</v>
      </c>
      <c r="C38" s="319">
        <v>4.6699999999999998E-2</v>
      </c>
      <c r="D38" s="319">
        <f t="shared" si="0"/>
        <v>0.11349999999999999</v>
      </c>
      <c r="E38" s="320">
        <v>7.1199999999999999E-2</v>
      </c>
      <c r="F38" s="321">
        <v>0.26860000000000001</v>
      </c>
    </row>
    <row r="39" spans="1:6" ht="16">
      <c r="A39" s="317" t="s">
        <v>264</v>
      </c>
      <c r="B39" s="318" t="s">
        <v>628</v>
      </c>
      <c r="C39" s="319">
        <v>5.1000000000000004E-3</v>
      </c>
      <c r="D39" s="319">
        <f t="shared" si="0"/>
        <v>5.0099999999999999E-2</v>
      </c>
      <c r="E39" s="320">
        <v>7.7999999999999996E-3</v>
      </c>
      <c r="F39" s="321">
        <v>0</v>
      </c>
    </row>
    <row r="40" spans="1:6" ht="16">
      <c r="A40" s="317" t="s">
        <v>764</v>
      </c>
      <c r="B40" s="318" t="s">
        <v>628</v>
      </c>
      <c r="C40" s="319">
        <v>6.8042644591899959E-3</v>
      </c>
      <c r="D40" s="319">
        <f t="shared" si="0"/>
        <v>5.2665467678857734E-2</v>
      </c>
      <c r="E40" s="320">
        <v>1.0365467678857737E-2</v>
      </c>
      <c r="F40" s="321">
        <v>0.25557231156583926</v>
      </c>
    </row>
    <row r="41" spans="1:6" ht="16">
      <c r="A41" s="317" t="s">
        <v>265</v>
      </c>
      <c r="B41" s="318" t="s">
        <v>577</v>
      </c>
      <c r="C41" s="319">
        <v>7.1999999999999998E-3</v>
      </c>
      <c r="D41" s="319">
        <f t="shared" si="0"/>
        <v>5.33E-2</v>
      </c>
      <c r="E41" s="320">
        <v>1.0999999999999999E-2</v>
      </c>
      <c r="F41" s="321">
        <v>0.27</v>
      </c>
    </row>
    <row r="42" spans="1:6" ht="16">
      <c r="A42" s="317" t="s">
        <v>266</v>
      </c>
      <c r="B42" s="318" t="s">
        <v>579</v>
      </c>
      <c r="C42" s="319">
        <v>6.0000000000000001E-3</v>
      </c>
      <c r="D42" s="319">
        <f t="shared" si="0"/>
        <v>5.1400000000000001E-2</v>
      </c>
      <c r="E42" s="320">
        <v>9.1000000000000004E-3</v>
      </c>
      <c r="F42" s="321">
        <v>0.25</v>
      </c>
    </row>
    <row r="43" spans="1:6" ht="16">
      <c r="A43" s="317" t="s">
        <v>267</v>
      </c>
      <c r="B43" s="318" t="s">
        <v>571</v>
      </c>
      <c r="C43" s="319">
        <v>1.8700000000000001E-2</v>
      </c>
      <c r="D43" s="319">
        <f t="shared" si="0"/>
        <v>7.0800000000000002E-2</v>
      </c>
      <c r="E43" s="320">
        <v>2.8500000000000001E-2</v>
      </c>
      <c r="F43" s="321">
        <v>0.35</v>
      </c>
    </row>
    <row r="44" spans="1:6" ht="16">
      <c r="A44" s="317" t="s">
        <v>496</v>
      </c>
      <c r="B44" s="318" t="s">
        <v>575</v>
      </c>
      <c r="C44" s="319">
        <v>5.5199999999999999E-2</v>
      </c>
      <c r="D44" s="319">
        <f t="shared" si="0"/>
        <v>0.12639999999999998</v>
      </c>
      <c r="E44" s="320">
        <v>8.4099999999999994E-2</v>
      </c>
      <c r="F44" s="321">
        <v>0.3</v>
      </c>
    </row>
    <row r="45" spans="1:6" ht="16">
      <c r="A45" s="317" t="s">
        <v>497</v>
      </c>
      <c r="B45" s="318" t="s">
        <v>580</v>
      </c>
      <c r="C45" s="319">
        <v>7.6499999999999999E-2</v>
      </c>
      <c r="D45" s="319">
        <f t="shared" si="0"/>
        <v>0.15889999999999999</v>
      </c>
      <c r="E45" s="320">
        <v>0.1166</v>
      </c>
      <c r="F45" s="321">
        <v>0.26860000000000001</v>
      </c>
    </row>
    <row r="46" spans="1:6" ht="16">
      <c r="A46" s="317" t="s">
        <v>481</v>
      </c>
      <c r="B46" s="318" t="s">
        <v>563</v>
      </c>
      <c r="C46" s="319">
        <v>3.8300000000000001E-2</v>
      </c>
      <c r="D46" s="319">
        <f t="shared" si="0"/>
        <v>0.10059999999999999</v>
      </c>
      <c r="E46" s="320">
        <v>5.8299999999999998E-2</v>
      </c>
      <c r="F46" s="321">
        <v>0.2</v>
      </c>
    </row>
    <row r="47" spans="1:6" ht="16">
      <c r="A47" s="317" t="s">
        <v>268</v>
      </c>
      <c r="B47" s="318" t="s">
        <v>570</v>
      </c>
      <c r="C47" s="319">
        <v>2.5600000000000001E-2</v>
      </c>
      <c r="D47" s="319">
        <f t="shared" si="0"/>
        <v>8.1299999999999997E-2</v>
      </c>
      <c r="E47" s="320">
        <v>3.9E-2</v>
      </c>
      <c r="F47" s="321">
        <v>0.3</v>
      </c>
    </row>
    <row r="48" spans="1:6" ht="16">
      <c r="A48" s="317" t="s">
        <v>269</v>
      </c>
      <c r="B48" s="318" t="s">
        <v>581</v>
      </c>
      <c r="C48" s="319">
        <v>1.0200000000000001E-2</v>
      </c>
      <c r="D48" s="319">
        <f t="shared" si="0"/>
        <v>5.7799999999999997E-2</v>
      </c>
      <c r="E48" s="320">
        <v>1.55E-2</v>
      </c>
      <c r="F48" s="321">
        <v>0.18</v>
      </c>
    </row>
    <row r="49" spans="1:6" ht="16">
      <c r="A49" s="317" t="s">
        <v>360</v>
      </c>
      <c r="B49" s="318" t="s">
        <v>629</v>
      </c>
      <c r="C49" s="319">
        <v>0.10199999999999999</v>
      </c>
      <c r="D49" s="319">
        <f t="shared" si="0"/>
        <v>0.19770000000000001</v>
      </c>
      <c r="E49" s="320">
        <v>0.15540000000000001</v>
      </c>
      <c r="F49" s="321">
        <v>0.35</v>
      </c>
    </row>
    <row r="50" spans="1:6" ht="16">
      <c r="A50" s="324" t="s">
        <v>765</v>
      </c>
      <c r="B50" s="318" t="s">
        <v>628</v>
      </c>
      <c r="C50" s="319">
        <v>2.7785941866780777E-2</v>
      </c>
      <c r="D50" s="319">
        <f t="shared" si="0"/>
        <v>8.4628496206189827E-2</v>
      </c>
      <c r="E50" s="320">
        <v>4.2328496206189829E-2</v>
      </c>
      <c r="F50" s="321">
        <v>0.31546691365656965</v>
      </c>
    </row>
    <row r="51" spans="1:6" ht="16">
      <c r="A51" s="317" t="s">
        <v>270</v>
      </c>
      <c r="B51" s="318" t="s">
        <v>581</v>
      </c>
      <c r="C51" s="319">
        <v>1.0200000000000001E-2</v>
      </c>
      <c r="D51" s="319">
        <f t="shared" si="0"/>
        <v>5.7799999999999997E-2</v>
      </c>
      <c r="E51" s="320">
        <v>1.55E-2</v>
      </c>
      <c r="F51" s="321">
        <v>0.125</v>
      </c>
    </row>
    <row r="52" spans="1:6" ht="16">
      <c r="A52" s="317" t="s">
        <v>271</v>
      </c>
      <c r="B52" s="318" t="s">
        <v>574</v>
      </c>
      <c r="C52" s="319">
        <v>5.1000000000000004E-3</v>
      </c>
      <c r="D52" s="319">
        <f t="shared" si="0"/>
        <v>5.0099999999999999E-2</v>
      </c>
      <c r="E52" s="320">
        <v>7.7999999999999996E-3</v>
      </c>
      <c r="F52" s="321">
        <v>0.21</v>
      </c>
    </row>
    <row r="53" spans="1:6" ht="16">
      <c r="A53" s="317" t="s">
        <v>272</v>
      </c>
      <c r="B53" s="318" t="s">
        <v>568</v>
      </c>
      <c r="C53" s="319">
        <v>0</v>
      </c>
      <c r="D53" s="319">
        <f t="shared" si="0"/>
        <v>4.2299999999999997E-2</v>
      </c>
      <c r="E53" s="320">
        <v>0</v>
      </c>
      <c r="F53" s="321">
        <v>0.22</v>
      </c>
    </row>
    <row r="54" spans="1:6" ht="16">
      <c r="A54" s="317" t="s">
        <v>273</v>
      </c>
      <c r="B54" s="318" t="s">
        <v>570</v>
      </c>
      <c r="C54" s="319">
        <v>2.5600000000000001E-2</v>
      </c>
      <c r="D54" s="319">
        <f t="shared" si="0"/>
        <v>8.1299999999999997E-2</v>
      </c>
      <c r="E54" s="320">
        <v>3.9E-2</v>
      </c>
      <c r="F54" s="321">
        <v>0.27</v>
      </c>
    </row>
    <row r="55" spans="1:6" ht="16">
      <c r="A55" s="317" t="s">
        <v>274</v>
      </c>
      <c r="B55" s="318" t="s">
        <v>630</v>
      </c>
      <c r="C55" s="319">
        <v>8.5000000000000006E-2</v>
      </c>
      <c r="D55" s="319">
        <f t="shared" si="0"/>
        <v>0.17180000000000001</v>
      </c>
      <c r="E55" s="320">
        <v>0.1295</v>
      </c>
      <c r="F55" s="321">
        <v>0.25</v>
      </c>
    </row>
    <row r="56" spans="1:6" ht="16">
      <c r="A56" s="317" t="s">
        <v>275</v>
      </c>
      <c r="B56" s="318" t="s">
        <v>573</v>
      </c>
      <c r="C56" s="319">
        <v>6.3700000000000007E-2</v>
      </c>
      <c r="D56" s="319">
        <f t="shared" si="0"/>
        <v>0.1394</v>
      </c>
      <c r="E56" s="320">
        <v>9.7100000000000006E-2</v>
      </c>
      <c r="F56" s="321">
        <v>0.22500000000000001</v>
      </c>
    </row>
    <row r="57" spans="1:6" ht="16">
      <c r="A57" s="317" t="s">
        <v>361</v>
      </c>
      <c r="B57" s="318" t="s">
        <v>575</v>
      </c>
      <c r="C57" s="319">
        <v>5.5199999999999999E-2</v>
      </c>
      <c r="D57" s="319">
        <f t="shared" si="0"/>
        <v>0.12639999999999998</v>
      </c>
      <c r="E57" s="320">
        <v>8.4099999999999994E-2</v>
      </c>
      <c r="F57" s="321">
        <v>0.3</v>
      </c>
    </row>
    <row r="58" spans="1:6" ht="16">
      <c r="A58" s="317" t="s">
        <v>276</v>
      </c>
      <c r="B58" s="318" t="s">
        <v>579</v>
      </c>
      <c r="C58" s="319">
        <v>6.0000000000000001E-3</v>
      </c>
      <c r="D58" s="319">
        <f t="shared" si="0"/>
        <v>5.1400000000000001E-2</v>
      </c>
      <c r="E58" s="320">
        <v>9.1000000000000004E-3</v>
      </c>
      <c r="F58" s="321">
        <v>0.2</v>
      </c>
    </row>
    <row r="59" spans="1:6" ht="16">
      <c r="A59" s="317" t="s">
        <v>498</v>
      </c>
      <c r="B59" s="318" t="s">
        <v>580</v>
      </c>
      <c r="C59" s="319">
        <v>7.6499999999999999E-2</v>
      </c>
      <c r="D59" s="319">
        <f t="shared" si="0"/>
        <v>0.15889999999999999</v>
      </c>
      <c r="E59" s="320">
        <v>0.1166</v>
      </c>
      <c r="F59" s="321">
        <v>0.3</v>
      </c>
    </row>
    <row r="60" spans="1:6" ht="16">
      <c r="A60" s="317" t="s">
        <v>766</v>
      </c>
      <c r="B60" s="318" t="s">
        <v>628</v>
      </c>
      <c r="C60" s="325">
        <v>2.7785941866780777E-2</v>
      </c>
      <c r="D60" s="319">
        <f t="shared" si="0"/>
        <v>8.4628496206189827E-2</v>
      </c>
      <c r="E60" s="320">
        <v>4.2328496206189829E-2</v>
      </c>
      <c r="F60" s="321">
        <v>0.31546691365656965</v>
      </c>
    </row>
    <row r="61" spans="1:6" ht="16">
      <c r="A61" s="317" t="s">
        <v>277</v>
      </c>
      <c r="B61" s="318" t="s">
        <v>563</v>
      </c>
      <c r="C61" s="319">
        <v>3.8300000000000001E-2</v>
      </c>
      <c r="D61" s="319">
        <f t="shared" si="0"/>
        <v>0.10059999999999999</v>
      </c>
      <c r="E61" s="320">
        <v>5.8299999999999998E-2</v>
      </c>
      <c r="F61" s="321">
        <v>0.25</v>
      </c>
    </row>
    <row r="62" spans="1:6" ht="16">
      <c r="A62" s="317" t="s">
        <v>278</v>
      </c>
      <c r="B62" s="318" t="s">
        <v>569</v>
      </c>
      <c r="C62" s="319">
        <v>2.3E-3</v>
      </c>
      <c r="D62" s="319">
        <f t="shared" si="0"/>
        <v>4.5899999999999996E-2</v>
      </c>
      <c r="E62" s="320">
        <v>3.5999999999999999E-3</v>
      </c>
      <c r="F62" s="321">
        <v>0.2</v>
      </c>
    </row>
    <row r="63" spans="1:6" ht="16">
      <c r="A63" s="317" t="s">
        <v>279</v>
      </c>
      <c r="B63" s="318" t="s">
        <v>574</v>
      </c>
      <c r="C63" s="319">
        <v>5.1000000000000004E-3</v>
      </c>
      <c r="D63" s="319">
        <f t="shared" si="0"/>
        <v>5.0099999999999999E-2</v>
      </c>
      <c r="E63" s="320">
        <v>7.7999999999999996E-3</v>
      </c>
      <c r="F63" s="321">
        <v>0.25829999999999997</v>
      </c>
    </row>
    <row r="64" spans="1:6" ht="16">
      <c r="A64" s="317" t="s">
        <v>767</v>
      </c>
      <c r="B64" s="318" t="s">
        <v>628</v>
      </c>
      <c r="C64" s="325">
        <v>2.7785941866780777E-2</v>
      </c>
      <c r="D64" s="319">
        <f t="shared" si="0"/>
        <v>8.4628496206189827E-2</v>
      </c>
      <c r="E64" s="320">
        <v>4.2328496206189829E-2</v>
      </c>
      <c r="F64" s="321">
        <v>0.31546691365656965</v>
      </c>
    </row>
    <row r="65" spans="1:6" ht="16">
      <c r="A65" s="317" t="s">
        <v>482</v>
      </c>
      <c r="B65" s="318" t="s">
        <v>580</v>
      </c>
      <c r="C65" s="319">
        <v>7.6499999999999999E-2</v>
      </c>
      <c r="D65" s="319">
        <f t="shared" si="0"/>
        <v>0.15889999999999999</v>
      </c>
      <c r="E65" s="320">
        <v>0.1166</v>
      </c>
      <c r="F65" s="321">
        <v>0.3</v>
      </c>
    </row>
    <row r="66" spans="1:6" ht="16">
      <c r="A66" s="322" t="s">
        <v>582</v>
      </c>
      <c r="B66" s="318" t="s">
        <v>628</v>
      </c>
      <c r="C66" s="319">
        <v>4.6699999999999998E-2</v>
      </c>
      <c r="D66" s="319">
        <f t="shared" si="0"/>
        <v>0.11349999999999999</v>
      </c>
      <c r="E66" s="320">
        <v>7.1199999999999999E-2</v>
      </c>
      <c r="F66" s="321">
        <v>0.11360000000000001</v>
      </c>
    </row>
    <row r="67" spans="1:6" ht="16">
      <c r="A67" s="317" t="s">
        <v>362</v>
      </c>
      <c r="B67" s="318" t="s">
        <v>570</v>
      </c>
      <c r="C67" s="319">
        <v>2.5600000000000001E-2</v>
      </c>
      <c r="D67" s="319">
        <f t="shared" si="0"/>
        <v>8.1299999999999997E-2</v>
      </c>
      <c r="E67" s="320">
        <v>3.9E-2</v>
      </c>
      <c r="F67" s="321">
        <v>0.15</v>
      </c>
    </row>
    <row r="68" spans="1:6" ht="16">
      <c r="A68" s="317" t="s">
        <v>280</v>
      </c>
      <c r="B68" s="318" t="s">
        <v>568</v>
      </c>
      <c r="C68" s="319">
        <v>0</v>
      </c>
      <c r="D68" s="319">
        <f t="shared" si="0"/>
        <v>4.2299999999999997E-2</v>
      </c>
      <c r="E68" s="320">
        <v>0</v>
      </c>
      <c r="F68" s="321">
        <v>0.29930000000000001</v>
      </c>
    </row>
    <row r="69" spans="1:6" ht="16">
      <c r="A69" s="317" t="s">
        <v>483</v>
      </c>
      <c r="B69" s="318" t="s">
        <v>573</v>
      </c>
      <c r="C69" s="319">
        <v>6.3700000000000007E-2</v>
      </c>
      <c r="D69" s="319">
        <f t="shared" si="0"/>
        <v>0.1394</v>
      </c>
      <c r="E69" s="320">
        <v>9.7100000000000006E-2</v>
      </c>
      <c r="F69" s="321">
        <v>0.25</v>
      </c>
    </row>
    <row r="70" spans="1:6" ht="16">
      <c r="A70" s="317" t="s">
        <v>768</v>
      </c>
      <c r="B70" s="318" t="s">
        <v>628</v>
      </c>
      <c r="C70" s="319">
        <v>6.8042644591899959E-3</v>
      </c>
      <c r="D70" s="319">
        <f t="shared" ref="D70:D133" si="1">$B$1+E70</f>
        <v>5.2665467678857734E-2</v>
      </c>
      <c r="E70" s="320">
        <v>1.0365467678857737E-2</v>
      </c>
      <c r="F70" s="321">
        <v>0.25557231156583926</v>
      </c>
    </row>
    <row r="71" spans="1:6" ht="16">
      <c r="A71" s="317" t="s">
        <v>281</v>
      </c>
      <c r="B71" s="318" t="s">
        <v>571</v>
      </c>
      <c r="C71" s="319">
        <v>1.8700000000000001E-2</v>
      </c>
      <c r="D71" s="319">
        <f t="shared" si="1"/>
        <v>7.0800000000000002E-2</v>
      </c>
      <c r="E71" s="320">
        <v>2.8500000000000001E-2</v>
      </c>
      <c r="F71" s="321">
        <v>0.22</v>
      </c>
    </row>
    <row r="72" spans="1:6" ht="16">
      <c r="A72" s="317" t="s">
        <v>769</v>
      </c>
      <c r="B72" s="318" t="s">
        <v>568</v>
      </c>
      <c r="C72" s="319">
        <v>0</v>
      </c>
      <c r="D72" s="319">
        <f t="shared" si="1"/>
        <v>4.2299999999999997E-2</v>
      </c>
      <c r="E72" s="320">
        <v>0</v>
      </c>
      <c r="F72" s="321">
        <v>0.22</v>
      </c>
    </row>
    <row r="73" spans="1:6" ht="16">
      <c r="A73" s="317" t="s">
        <v>282</v>
      </c>
      <c r="B73" s="318" t="s">
        <v>583</v>
      </c>
      <c r="C73" s="319">
        <v>2.1299999999999999E-2</v>
      </c>
      <c r="D73" s="319">
        <f t="shared" si="1"/>
        <v>7.4699999999999989E-2</v>
      </c>
      <c r="E73" s="320">
        <v>3.2399999999999998E-2</v>
      </c>
      <c r="F73" s="321">
        <v>0.25</v>
      </c>
    </row>
    <row r="74" spans="1:6" ht="16">
      <c r="A74" s="317" t="s">
        <v>631</v>
      </c>
      <c r="B74" s="318" t="s">
        <v>579</v>
      </c>
      <c r="C74" s="319">
        <v>6.0000000000000001E-3</v>
      </c>
      <c r="D74" s="319">
        <f t="shared" si="1"/>
        <v>5.1400000000000001E-2</v>
      </c>
      <c r="E74" s="320">
        <v>9.1000000000000004E-3</v>
      </c>
      <c r="F74" s="321">
        <v>0</v>
      </c>
    </row>
    <row r="75" spans="1:6" ht="16">
      <c r="A75" s="323" t="s">
        <v>584</v>
      </c>
      <c r="B75" s="318" t="s">
        <v>628</v>
      </c>
      <c r="C75" s="319">
        <v>7.6499999999999999E-2</v>
      </c>
      <c r="D75" s="319">
        <f t="shared" si="1"/>
        <v>0.15889999999999999</v>
      </c>
      <c r="E75" s="320">
        <v>0.1166</v>
      </c>
      <c r="F75" s="321">
        <v>0.159</v>
      </c>
    </row>
    <row r="76" spans="1:6" ht="16">
      <c r="A76" s="322" t="s">
        <v>585</v>
      </c>
      <c r="B76" s="318" t="s">
        <v>628</v>
      </c>
      <c r="C76" s="319">
        <v>6.3700000000000007E-2</v>
      </c>
      <c r="D76" s="319">
        <f t="shared" si="1"/>
        <v>0.1394</v>
      </c>
      <c r="E76" s="320">
        <v>9.7100000000000006E-2</v>
      </c>
      <c r="F76" s="321">
        <v>0.13950000000000001</v>
      </c>
    </row>
    <row r="77" spans="1:6" ht="16">
      <c r="A77" s="323" t="s">
        <v>586</v>
      </c>
      <c r="B77" s="318" t="s">
        <v>628</v>
      </c>
      <c r="C77" s="319">
        <v>1.3599999999999999E-2</v>
      </c>
      <c r="D77" s="319">
        <f t="shared" si="1"/>
        <v>6.3E-2</v>
      </c>
      <c r="E77" s="320">
        <v>2.07E-2</v>
      </c>
      <c r="F77" s="321">
        <v>6.3100000000000003E-2</v>
      </c>
    </row>
    <row r="78" spans="1:6" ht="16">
      <c r="A78" s="322" t="s">
        <v>587</v>
      </c>
      <c r="B78" s="318" t="s">
        <v>628</v>
      </c>
      <c r="C78" s="319">
        <v>8.5000000000000006E-2</v>
      </c>
      <c r="D78" s="319">
        <f t="shared" si="1"/>
        <v>0.17180000000000001</v>
      </c>
      <c r="E78" s="320">
        <v>0.1295</v>
      </c>
      <c r="F78" s="321">
        <v>0.1719</v>
      </c>
    </row>
    <row r="79" spans="1:6" ht="16">
      <c r="A79" s="317" t="s">
        <v>283</v>
      </c>
      <c r="B79" s="318" t="s">
        <v>563</v>
      </c>
      <c r="C79" s="319">
        <v>3.8300000000000001E-2</v>
      </c>
      <c r="D79" s="319">
        <f t="shared" si="1"/>
        <v>0.10059999999999999</v>
      </c>
      <c r="E79" s="320">
        <v>5.8299999999999998E-2</v>
      </c>
      <c r="F79" s="321">
        <v>0.3</v>
      </c>
    </row>
    <row r="80" spans="1:6" ht="16">
      <c r="A80" s="317" t="s">
        <v>284</v>
      </c>
      <c r="B80" s="318" t="s">
        <v>574</v>
      </c>
      <c r="C80" s="319">
        <v>5.1000000000000004E-3</v>
      </c>
      <c r="D80" s="319">
        <f t="shared" si="1"/>
        <v>5.0099999999999999E-2</v>
      </c>
      <c r="E80" s="320">
        <v>7.7999999999999996E-3</v>
      </c>
      <c r="F80" s="321">
        <v>0.16500000000000001</v>
      </c>
    </row>
    <row r="81" spans="1:6" ht="16">
      <c r="A81" s="317" t="s">
        <v>285</v>
      </c>
      <c r="B81" s="318" t="s">
        <v>565</v>
      </c>
      <c r="C81" s="319">
        <v>1.6199999999999999E-2</v>
      </c>
      <c r="D81" s="319">
        <f t="shared" si="1"/>
        <v>6.6900000000000001E-2</v>
      </c>
      <c r="E81" s="320">
        <v>2.46E-2</v>
      </c>
      <c r="F81" s="321">
        <v>0.09</v>
      </c>
    </row>
    <row r="82" spans="1:6" ht="16">
      <c r="A82" s="317" t="s">
        <v>286</v>
      </c>
      <c r="B82" s="318" t="s">
        <v>579</v>
      </c>
      <c r="C82" s="319">
        <v>6.0000000000000001E-3</v>
      </c>
      <c r="D82" s="319">
        <f t="shared" si="1"/>
        <v>5.1400000000000001E-2</v>
      </c>
      <c r="E82" s="320">
        <v>9.1000000000000004E-3</v>
      </c>
      <c r="F82" s="321">
        <v>0.21</v>
      </c>
    </row>
    <row r="83" spans="1:6" ht="16">
      <c r="A83" s="317" t="s">
        <v>287</v>
      </c>
      <c r="B83" s="318" t="s">
        <v>571</v>
      </c>
      <c r="C83" s="319">
        <v>1.8700000000000001E-2</v>
      </c>
      <c r="D83" s="319">
        <f t="shared" si="1"/>
        <v>7.0800000000000002E-2</v>
      </c>
      <c r="E83" s="320">
        <v>2.8500000000000001E-2</v>
      </c>
      <c r="F83" s="321">
        <v>0.3</v>
      </c>
    </row>
    <row r="84" spans="1:6" ht="16">
      <c r="A84" s="317" t="s">
        <v>288</v>
      </c>
      <c r="B84" s="318" t="s">
        <v>565</v>
      </c>
      <c r="C84" s="319">
        <v>1.6199999999999999E-2</v>
      </c>
      <c r="D84" s="319">
        <f t="shared" si="1"/>
        <v>6.6900000000000001E-2</v>
      </c>
      <c r="E84" s="320">
        <v>2.46E-2</v>
      </c>
      <c r="F84" s="321">
        <v>0.22</v>
      </c>
    </row>
    <row r="85" spans="1:6" ht="16">
      <c r="A85" s="323" t="s">
        <v>588</v>
      </c>
      <c r="B85" s="318" t="s">
        <v>628</v>
      </c>
      <c r="C85" s="319">
        <v>6.3700000000000007E-2</v>
      </c>
      <c r="D85" s="319">
        <f t="shared" si="1"/>
        <v>0.1394</v>
      </c>
      <c r="E85" s="320">
        <v>9.7100000000000006E-2</v>
      </c>
      <c r="F85" s="321">
        <v>0.13950000000000001</v>
      </c>
    </row>
    <row r="86" spans="1:6" ht="16">
      <c r="A86" s="317" t="s">
        <v>554</v>
      </c>
      <c r="B86" s="318" t="s">
        <v>573</v>
      </c>
      <c r="C86" s="319">
        <v>6.3700000000000007E-2</v>
      </c>
      <c r="D86" s="319">
        <f t="shared" si="1"/>
        <v>0.1394</v>
      </c>
      <c r="E86" s="320">
        <v>9.7100000000000006E-2</v>
      </c>
      <c r="F86" s="321">
        <v>0.15</v>
      </c>
    </row>
    <row r="87" spans="1:6" ht="16">
      <c r="A87" s="317" t="s">
        <v>289</v>
      </c>
      <c r="B87" s="318" t="s">
        <v>574</v>
      </c>
      <c r="C87" s="319">
        <v>5.1000000000000004E-3</v>
      </c>
      <c r="D87" s="319">
        <f t="shared" si="1"/>
        <v>5.0099999999999999E-2</v>
      </c>
      <c r="E87" s="320">
        <v>7.7999999999999996E-3</v>
      </c>
      <c r="F87" s="321">
        <v>0.125</v>
      </c>
    </row>
    <row r="88" spans="1:6" ht="16">
      <c r="A88" s="317" t="s">
        <v>290</v>
      </c>
      <c r="B88" s="318" t="s">
        <v>574</v>
      </c>
      <c r="C88" s="319">
        <v>5.1000000000000004E-3</v>
      </c>
      <c r="D88" s="319">
        <f t="shared" si="1"/>
        <v>5.0099999999999999E-2</v>
      </c>
      <c r="E88" s="320">
        <v>7.7999999999999996E-3</v>
      </c>
      <c r="F88" s="321">
        <v>0</v>
      </c>
    </row>
    <row r="89" spans="1:6" ht="16">
      <c r="A89" s="317" t="s">
        <v>291</v>
      </c>
      <c r="B89" s="318" t="s">
        <v>567</v>
      </c>
      <c r="C89" s="319">
        <v>1.3599999999999999E-2</v>
      </c>
      <c r="D89" s="319">
        <f t="shared" si="1"/>
        <v>6.3E-2</v>
      </c>
      <c r="E89" s="320">
        <v>2.07E-2</v>
      </c>
      <c r="F89" s="321">
        <v>0.23</v>
      </c>
    </row>
    <row r="90" spans="1:6" ht="16">
      <c r="A90" s="317" t="s">
        <v>292</v>
      </c>
      <c r="B90" s="318" t="s">
        <v>565</v>
      </c>
      <c r="C90" s="319">
        <v>1.6199999999999999E-2</v>
      </c>
      <c r="D90" s="319">
        <f t="shared" si="1"/>
        <v>6.6900000000000001E-2</v>
      </c>
      <c r="E90" s="320">
        <v>2.46E-2</v>
      </c>
      <c r="F90" s="321">
        <v>0.27810000000000001</v>
      </c>
    </row>
    <row r="91" spans="1:6" ht="16">
      <c r="A91" s="317" t="s">
        <v>770</v>
      </c>
      <c r="B91" s="318" t="s">
        <v>570</v>
      </c>
      <c r="C91" s="230">
        <v>2.5600000000000001E-2</v>
      </c>
      <c r="D91" s="319">
        <f t="shared" si="1"/>
        <v>8.1299999999999997E-2</v>
      </c>
      <c r="E91" s="320">
        <v>3.9E-2</v>
      </c>
      <c r="F91" s="321">
        <v>0.25</v>
      </c>
    </row>
    <row r="92" spans="1:6" ht="16">
      <c r="A92" s="317" t="s">
        <v>293</v>
      </c>
      <c r="B92" s="318" t="s">
        <v>572</v>
      </c>
      <c r="C92" s="319">
        <v>3.0599999999999999E-2</v>
      </c>
      <c r="D92" s="319">
        <f t="shared" si="1"/>
        <v>8.8900000000000007E-2</v>
      </c>
      <c r="E92" s="320">
        <v>4.6600000000000003E-2</v>
      </c>
      <c r="F92" s="321">
        <v>0.25</v>
      </c>
    </row>
    <row r="93" spans="1:6" ht="16">
      <c r="A93" s="317" t="s">
        <v>294</v>
      </c>
      <c r="B93" s="318" t="s">
        <v>579</v>
      </c>
      <c r="C93" s="319">
        <v>6.0000000000000001E-3</v>
      </c>
      <c r="D93" s="319">
        <f t="shared" si="1"/>
        <v>5.1400000000000001E-2</v>
      </c>
      <c r="E93" s="320">
        <v>9.1000000000000004E-3</v>
      </c>
      <c r="F93" s="321">
        <v>0.2974</v>
      </c>
    </row>
    <row r="94" spans="1:6" ht="16">
      <c r="A94" s="317" t="s">
        <v>632</v>
      </c>
      <c r="B94" s="318" t="s">
        <v>574</v>
      </c>
      <c r="C94" s="319">
        <v>5.1000000000000004E-3</v>
      </c>
      <c r="D94" s="319">
        <f t="shared" si="1"/>
        <v>5.0099999999999999E-2</v>
      </c>
      <c r="E94" s="320">
        <v>7.7999999999999996E-3</v>
      </c>
      <c r="F94" s="321">
        <v>0</v>
      </c>
    </row>
    <row r="95" spans="1:6" ht="16">
      <c r="A95" s="317" t="s">
        <v>295</v>
      </c>
      <c r="B95" s="318" t="s">
        <v>572</v>
      </c>
      <c r="C95" s="319">
        <v>3.0599999999999999E-2</v>
      </c>
      <c r="D95" s="319">
        <f t="shared" si="1"/>
        <v>8.8900000000000007E-2</v>
      </c>
      <c r="E95" s="320">
        <v>4.6600000000000003E-2</v>
      </c>
      <c r="F95" s="321">
        <v>0.2</v>
      </c>
    </row>
    <row r="96" spans="1:6" ht="16">
      <c r="A96" s="317" t="s">
        <v>296</v>
      </c>
      <c r="B96" s="318" t="s">
        <v>567</v>
      </c>
      <c r="C96" s="319">
        <v>1.3599999999999999E-2</v>
      </c>
      <c r="D96" s="319">
        <f t="shared" si="1"/>
        <v>6.3E-2</v>
      </c>
      <c r="E96" s="320">
        <v>2.07E-2</v>
      </c>
      <c r="F96" s="321">
        <v>0.2</v>
      </c>
    </row>
    <row r="97" spans="1:6" ht="16">
      <c r="A97" s="317" t="s">
        <v>425</v>
      </c>
      <c r="B97" s="318" t="s">
        <v>573</v>
      </c>
      <c r="C97" s="319">
        <v>6.3700000000000007E-2</v>
      </c>
      <c r="D97" s="319">
        <f t="shared" si="1"/>
        <v>0.1394</v>
      </c>
      <c r="E97" s="320">
        <v>9.7100000000000006E-2</v>
      </c>
      <c r="F97" s="321">
        <v>0.3</v>
      </c>
    </row>
    <row r="98" spans="1:6" ht="16">
      <c r="A98" s="322" t="s">
        <v>589</v>
      </c>
      <c r="B98" s="318" t="s">
        <v>628</v>
      </c>
      <c r="C98" s="319">
        <v>0.10199999999999999</v>
      </c>
      <c r="D98" s="319">
        <f t="shared" si="1"/>
        <v>0.19770000000000001</v>
      </c>
      <c r="E98" s="320">
        <v>0.15540000000000001</v>
      </c>
      <c r="F98" s="321">
        <v>0.1978</v>
      </c>
    </row>
    <row r="99" spans="1:6" ht="16">
      <c r="A99" s="317" t="s">
        <v>297</v>
      </c>
      <c r="B99" s="318" t="s">
        <v>579</v>
      </c>
      <c r="C99" s="319">
        <v>6.0000000000000001E-3</v>
      </c>
      <c r="D99" s="319">
        <f t="shared" si="1"/>
        <v>5.1400000000000001E-2</v>
      </c>
      <c r="E99" s="320">
        <v>9.1000000000000004E-3</v>
      </c>
      <c r="F99" s="321">
        <v>0.15</v>
      </c>
    </row>
    <row r="100" spans="1:6" ht="16">
      <c r="A100" s="317" t="s">
        <v>484</v>
      </c>
      <c r="B100" s="318" t="s">
        <v>575</v>
      </c>
      <c r="C100" s="319">
        <v>5.5199999999999999E-2</v>
      </c>
      <c r="D100" s="319">
        <f t="shared" si="1"/>
        <v>0.12639999999999998</v>
      </c>
      <c r="E100" s="320">
        <v>8.4099999999999994E-2</v>
      </c>
      <c r="F100" s="321">
        <v>0.1</v>
      </c>
    </row>
    <row r="101" spans="1:6" ht="16">
      <c r="A101" s="317" t="s">
        <v>616</v>
      </c>
      <c r="B101" s="318" t="s">
        <v>580</v>
      </c>
      <c r="C101" s="319">
        <v>7.6499999999999999E-2</v>
      </c>
      <c r="D101" s="319">
        <f t="shared" si="1"/>
        <v>0.15889999999999999</v>
      </c>
      <c r="E101" s="320">
        <v>0.1166</v>
      </c>
      <c r="F101" s="321">
        <v>0.2</v>
      </c>
    </row>
    <row r="102" spans="1:6" ht="16">
      <c r="A102" s="317" t="s">
        <v>298</v>
      </c>
      <c r="B102" s="318" t="s">
        <v>581</v>
      </c>
      <c r="C102" s="319">
        <v>1.0200000000000001E-2</v>
      </c>
      <c r="D102" s="319">
        <f t="shared" si="1"/>
        <v>5.7799999999999997E-2</v>
      </c>
      <c r="E102" s="320">
        <v>1.55E-2</v>
      </c>
      <c r="F102" s="321">
        <v>0.2</v>
      </c>
    </row>
    <row r="103" spans="1:6" ht="16">
      <c r="A103" s="317" t="s">
        <v>363</v>
      </c>
      <c r="B103" s="318" t="s">
        <v>609</v>
      </c>
      <c r="C103" s="319">
        <v>0.17499999999999999</v>
      </c>
      <c r="D103" s="319">
        <f t="shared" si="1"/>
        <v>0.30890000000000001</v>
      </c>
      <c r="E103" s="320">
        <v>0.2666</v>
      </c>
      <c r="F103" s="321">
        <v>0.17</v>
      </c>
    </row>
    <row r="104" spans="1:6" ht="16">
      <c r="A104" s="323" t="s">
        <v>590</v>
      </c>
      <c r="B104" s="318" t="s">
        <v>628</v>
      </c>
      <c r="C104" s="319">
        <v>7.6499999999999999E-2</v>
      </c>
      <c r="D104" s="319">
        <f t="shared" si="1"/>
        <v>0.15889999999999999</v>
      </c>
      <c r="E104" s="320">
        <v>0.1166</v>
      </c>
      <c r="F104" s="321">
        <v>0.159</v>
      </c>
    </row>
    <row r="105" spans="1:6" ht="16">
      <c r="A105" s="322" t="s">
        <v>591</v>
      </c>
      <c r="B105" s="318" t="s">
        <v>628</v>
      </c>
      <c r="C105" s="319">
        <v>2.5600000000000001E-2</v>
      </c>
      <c r="D105" s="319">
        <f t="shared" si="1"/>
        <v>8.1299999999999997E-2</v>
      </c>
      <c r="E105" s="320">
        <v>3.9E-2</v>
      </c>
      <c r="F105" s="321">
        <v>8.14E-2</v>
      </c>
    </row>
    <row r="106" spans="1:6" ht="16">
      <c r="A106" s="317" t="s">
        <v>299</v>
      </c>
      <c r="B106" s="318" t="s">
        <v>568</v>
      </c>
      <c r="C106" s="319">
        <v>0</v>
      </c>
      <c r="D106" s="319">
        <f t="shared" si="1"/>
        <v>4.2299999999999997E-2</v>
      </c>
      <c r="E106" s="320">
        <v>0</v>
      </c>
      <c r="F106" s="321">
        <v>0.125</v>
      </c>
    </row>
    <row r="107" spans="1:6" ht="16">
      <c r="A107" s="317" t="s">
        <v>300</v>
      </c>
      <c r="B107" s="318" t="s">
        <v>577</v>
      </c>
      <c r="C107" s="319">
        <v>7.1999999999999998E-3</v>
      </c>
      <c r="D107" s="319">
        <f t="shared" si="1"/>
        <v>5.33E-2</v>
      </c>
      <c r="E107" s="320">
        <v>1.0999999999999999E-2</v>
      </c>
      <c r="F107" s="321">
        <v>0.15</v>
      </c>
    </row>
    <row r="108" spans="1:6" ht="16">
      <c r="A108" s="317" t="s">
        <v>301</v>
      </c>
      <c r="B108" s="318" t="s">
        <v>568</v>
      </c>
      <c r="C108" s="319">
        <v>0</v>
      </c>
      <c r="D108" s="319">
        <f t="shared" si="1"/>
        <v>4.2299999999999997E-2</v>
      </c>
      <c r="E108" s="320">
        <v>0</v>
      </c>
      <c r="F108" s="321">
        <v>0.24940000000000001</v>
      </c>
    </row>
    <row r="109" spans="1:6" ht="16">
      <c r="A109" s="317" t="s">
        <v>771</v>
      </c>
      <c r="B109" s="318" t="s">
        <v>574</v>
      </c>
      <c r="C109" s="230">
        <v>5.1000000000000004E-3</v>
      </c>
      <c r="D109" s="319">
        <f t="shared" si="1"/>
        <v>5.0099999999999999E-2</v>
      </c>
      <c r="E109" s="320">
        <v>7.7999999999999996E-3</v>
      </c>
      <c r="F109" s="321">
        <v>0.25</v>
      </c>
    </row>
    <row r="110" spans="1:6" ht="16">
      <c r="A110" s="317" t="s">
        <v>302</v>
      </c>
      <c r="B110" s="318" t="s">
        <v>572</v>
      </c>
      <c r="C110" s="319">
        <v>3.0599999999999999E-2</v>
      </c>
      <c r="D110" s="319">
        <f t="shared" si="1"/>
        <v>8.8900000000000007E-2</v>
      </c>
      <c r="E110" s="320">
        <v>4.6600000000000003E-2</v>
      </c>
      <c r="F110" s="321">
        <v>0.1</v>
      </c>
    </row>
    <row r="111" spans="1:6" ht="16">
      <c r="A111" s="323" t="s">
        <v>592</v>
      </c>
      <c r="B111" s="318" t="s">
        <v>628</v>
      </c>
      <c r="C111" s="319">
        <v>5.5199999999999999E-2</v>
      </c>
      <c r="D111" s="319">
        <f t="shared" si="1"/>
        <v>0.12639999999999998</v>
      </c>
      <c r="E111" s="320">
        <v>8.4099999999999994E-2</v>
      </c>
      <c r="F111" s="321">
        <v>0.1265</v>
      </c>
    </row>
    <row r="112" spans="1:6" ht="16">
      <c r="A112" s="322" t="s">
        <v>593</v>
      </c>
      <c r="B112" s="318" t="s">
        <v>628</v>
      </c>
      <c r="C112" s="319">
        <v>8.5000000000000006E-2</v>
      </c>
      <c r="D112" s="319">
        <f t="shared" si="1"/>
        <v>0.17180000000000001</v>
      </c>
      <c r="E112" s="320">
        <v>0.1295</v>
      </c>
      <c r="F112" s="321">
        <v>0.1719</v>
      </c>
    </row>
    <row r="113" spans="1:6" ht="16">
      <c r="A113" s="317" t="s">
        <v>303</v>
      </c>
      <c r="B113" s="318" t="s">
        <v>581</v>
      </c>
      <c r="C113" s="319">
        <v>1.0200000000000001E-2</v>
      </c>
      <c r="D113" s="319">
        <f t="shared" si="1"/>
        <v>5.7799999999999997E-2</v>
      </c>
      <c r="E113" s="320">
        <v>1.55E-2</v>
      </c>
      <c r="F113" s="321">
        <v>0.24</v>
      </c>
    </row>
    <row r="114" spans="1:6" ht="16">
      <c r="A114" s="317" t="s">
        <v>633</v>
      </c>
      <c r="B114" s="318" t="s">
        <v>580</v>
      </c>
      <c r="C114" s="319">
        <v>7.6499999999999999E-2</v>
      </c>
      <c r="D114" s="319">
        <f t="shared" si="1"/>
        <v>0.15889999999999999</v>
      </c>
      <c r="E114" s="320">
        <v>0.1166</v>
      </c>
      <c r="F114" s="321">
        <v>0.15</v>
      </c>
    </row>
    <row r="115" spans="1:6" ht="16">
      <c r="A115" s="317" t="s">
        <v>594</v>
      </c>
      <c r="B115" s="318" t="s">
        <v>580</v>
      </c>
      <c r="C115" s="319">
        <v>7.6499999999999999E-2</v>
      </c>
      <c r="D115" s="319">
        <f t="shared" si="1"/>
        <v>0.15889999999999999</v>
      </c>
      <c r="E115" s="320">
        <v>0.1166</v>
      </c>
      <c r="F115" s="321">
        <v>0.3</v>
      </c>
    </row>
    <row r="116" spans="1:6" ht="16">
      <c r="A116" s="317" t="s">
        <v>304</v>
      </c>
      <c r="B116" s="318" t="s">
        <v>577</v>
      </c>
      <c r="C116" s="319">
        <v>7.1999999999999998E-3</v>
      </c>
      <c r="D116" s="319">
        <f t="shared" si="1"/>
        <v>5.33E-2</v>
      </c>
      <c r="E116" s="320">
        <v>1.0999999999999999E-2</v>
      </c>
      <c r="F116" s="321">
        <v>0.35</v>
      </c>
    </row>
    <row r="117" spans="1:6" ht="16">
      <c r="A117" s="317" t="s">
        <v>772</v>
      </c>
      <c r="B117" s="318" t="s">
        <v>628</v>
      </c>
      <c r="C117" s="319">
        <v>4.9151830261848689E-2</v>
      </c>
      <c r="D117" s="319">
        <f t="shared" si="1"/>
        <v>0.117176823349771</v>
      </c>
      <c r="E117" s="320">
        <v>7.4876823349770999E-2</v>
      </c>
      <c r="F117" s="321">
        <v>0.26526547543374851</v>
      </c>
    </row>
    <row r="118" spans="1:6" ht="16">
      <c r="A118" s="317" t="s">
        <v>305</v>
      </c>
      <c r="B118" s="318" t="s">
        <v>571</v>
      </c>
      <c r="C118" s="319">
        <v>1.8700000000000001E-2</v>
      </c>
      <c r="D118" s="319">
        <f t="shared" si="1"/>
        <v>7.0800000000000002E-2</v>
      </c>
      <c r="E118" s="320">
        <v>2.8500000000000001E-2</v>
      </c>
      <c r="F118" s="321">
        <v>0.15</v>
      </c>
    </row>
    <row r="119" spans="1:6" ht="16">
      <c r="A119" s="317" t="s">
        <v>306</v>
      </c>
      <c r="B119" s="318" t="s">
        <v>565</v>
      </c>
      <c r="C119" s="319">
        <v>1.6199999999999999E-2</v>
      </c>
      <c r="D119" s="319">
        <f t="shared" si="1"/>
        <v>6.6900000000000001E-2</v>
      </c>
      <c r="E119" s="320">
        <v>2.46E-2</v>
      </c>
      <c r="F119" s="321">
        <v>0.3</v>
      </c>
    </row>
    <row r="120" spans="1:6" ht="16">
      <c r="A120" s="317" t="s">
        <v>364</v>
      </c>
      <c r="B120" s="318" t="s">
        <v>575</v>
      </c>
      <c r="C120" s="319">
        <v>5.5199999999999999E-2</v>
      </c>
      <c r="D120" s="319">
        <f t="shared" si="1"/>
        <v>0.12639999999999998</v>
      </c>
      <c r="E120" s="320">
        <v>8.4099999999999994E-2</v>
      </c>
      <c r="F120" s="321">
        <v>0.12</v>
      </c>
    </row>
    <row r="121" spans="1:6" ht="16">
      <c r="A121" s="317" t="s">
        <v>773</v>
      </c>
      <c r="B121" s="318" t="s">
        <v>628</v>
      </c>
      <c r="C121" s="319">
        <v>0</v>
      </c>
      <c r="D121" s="319">
        <f t="shared" si="1"/>
        <v>4.2299999999999997E-2</v>
      </c>
      <c r="E121" s="320">
        <v>0</v>
      </c>
      <c r="F121" s="321">
        <v>0.2</v>
      </c>
    </row>
    <row r="122" spans="1:6" ht="16">
      <c r="A122" s="317" t="s">
        <v>365</v>
      </c>
      <c r="B122" s="318" t="s">
        <v>563</v>
      </c>
      <c r="C122" s="319">
        <v>3.8300000000000001E-2</v>
      </c>
      <c r="D122" s="319">
        <f t="shared" si="1"/>
        <v>0.10059999999999999</v>
      </c>
      <c r="E122" s="320">
        <v>5.8299999999999998E-2</v>
      </c>
      <c r="F122" s="321">
        <v>0.25</v>
      </c>
    </row>
    <row r="123" spans="1:6" ht="16">
      <c r="A123" s="317" t="s">
        <v>307</v>
      </c>
      <c r="B123" s="318" t="s">
        <v>563</v>
      </c>
      <c r="C123" s="319">
        <v>3.8300000000000001E-2</v>
      </c>
      <c r="D123" s="319">
        <f t="shared" si="1"/>
        <v>0.10059999999999999</v>
      </c>
      <c r="E123" s="320">
        <v>5.8299999999999998E-2</v>
      </c>
      <c r="F123" s="321">
        <v>0.15</v>
      </c>
    </row>
    <row r="124" spans="1:6" ht="16">
      <c r="A124" s="317" t="s">
        <v>485</v>
      </c>
      <c r="B124" s="318" t="s">
        <v>571</v>
      </c>
      <c r="C124" s="319">
        <v>1.8700000000000001E-2</v>
      </c>
      <c r="D124" s="319">
        <f t="shared" si="1"/>
        <v>7.0800000000000002E-2</v>
      </c>
      <c r="E124" s="320">
        <v>2.8500000000000001E-2</v>
      </c>
      <c r="F124" s="321">
        <v>0.3</v>
      </c>
    </row>
    <row r="125" spans="1:6" ht="16">
      <c r="A125" s="317" t="s">
        <v>366</v>
      </c>
      <c r="B125" s="318" t="s">
        <v>583</v>
      </c>
      <c r="C125" s="319">
        <v>2.1299999999999999E-2</v>
      </c>
      <c r="D125" s="319">
        <f t="shared" si="1"/>
        <v>7.4699999999999989E-2</v>
      </c>
      <c r="E125" s="320">
        <v>3.2399999999999998E-2</v>
      </c>
      <c r="F125" s="321">
        <v>0.33</v>
      </c>
    </row>
    <row r="126" spans="1:6" ht="16">
      <c r="A126" s="317" t="s">
        <v>308</v>
      </c>
      <c r="B126" s="318" t="s">
        <v>630</v>
      </c>
      <c r="C126" s="319">
        <v>8.5000000000000006E-2</v>
      </c>
      <c r="D126" s="319">
        <f t="shared" si="1"/>
        <v>0.17180000000000001</v>
      </c>
      <c r="E126" s="320">
        <v>0.1295</v>
      </c>
      <c r="F126" s="321">
        <v>0.32</v>
      </c>
    </row>
    <row r="127" spans="1:6" ht="16">
      <c r="A127" s="323" t="s">
        <v>595</v>
      </c>
      <c r="B127" s="318" t="s">
        <v>628</v>
      </c>
      <c r="C127" s="319">
        <v>0.10199999999999999</v>
      </c>
      <c r="D127" s="319">
        <f t="shared" si="1"/>
        <v>0.19770000000000001</v>
      </c>
      <c r="E127" s="320">
        <v>0.15540000000000001</v>
      </c>
      <c r="F127" s="321">
        <v>0.1978</v>
      </c>
    </row>
    <row r="128" spans="1:6" ht="16">
      <c r="A128" s="317" t="s">
        <v>309</v>
      </c>
      <c r="B128" s="318" t="s">
        <v>563</v>
      </c>
      <c r="C128" s="319">
        <v>3.8300000000000001E-2</v>
      </c>
      <c r="D128" s="319">
        <f t="shared" si="1"/>
        <v>0.10059999999999999</v>
      </c>
      <c r="E128" s="320">
        <v>5.8299999999999998E-2</v>
      </c>
      <c r="F128" s="321">
        <v>0.32</v>
      </c>
    </row>
    <row r="129" spans="1:6" ht="16">
      <c r="A129" s="326" t="s">
        <v>774</v>
      </c>
      <c r="B129" s="318" t="s">
        <v>572</v>
      </c>
      <c r="C129" s="319">
        <v>3.0599999999999999E-2</v>
      </c>
      <c r="D129" s="319">
        <f t="shared" si="1"/>
        <v>8.8900000000000007E-2</v>
      </c>
      <c r="E129" s="320">
        <v>4.6600000000000003E-2</v>
      </c>
      <c r="F129" s="321">
        <v>0.25</v>
      </c>
    </row>
    <row r="130" spans="1:6" ht="16">
      <c r="A130" s="317" t="s">
        <v>310</v>
      </c>
      <c r="B130" s="318" t="s">
        <v>568</v>
      </c>
      <c r="C130" s="319">
        <v>0</v>
      </c>
      <c r="D130" s="319">
        <f t="shared" si="1"/>
        <v>4.2299999999999997E-2</v>
      </c>
      <c r="E130" s="320">
        <v>0</v>
      </c>
      <c r="F130" s="321">
        <v>0.25800000000000001</v>
      </c>
    </row>
    <row r="131" spans="1:6" ht="16">
      <c r="A131" s="317" t="s">
        <v>775</v>
      </c>
      <c r="B131" s="318" t="s">
        <v>628</v>
      </c>
      <c r="C131" s="319">
        <v>4.9151830261848689E-2</v>
      </c>
      <c r="D131" s="319">
        <f t="shared" si="1"/>
        <v>0.117176823349771</v>
      </c>
      <c r="E131" s="320">
        <v>7.4876823349770999E-2</v>
      </c>
      <c r="F131" s="321">
        <v>0.26526547543374851</v>
      </c>
    </row>
    <row r="132" spans="1:6" ht="16">
      <c r="A132" s="317" t="s">
        <v>311</v>
      </c>
      <c r="B132" s="318" t="s">
        <v>568</v>
      </c>
      <c r="C132" s="319">
        <v>0</v>
      </c>
      <c r="D132" s="319">
        <f t="shared" si="1"/>
        <v>4.2299999999999997E-2</v>
      </c>
      <c r="E132" s="320">
        <v>0</v>
      </c>
      <c r="F132" s="321">
        <v>0.28000000000000003</v>
      </c>
    </row>
    <row r="133" spans="1:6" ht="16">
      <c r="A133" s="317" t="s">
        <v>367</v>
      </c>
      <c r="B133" s="318" t="s">
        <v>566</v>
      </c>
      <c r="C133" s="319">
        <v>4.6699999999999998E-2</v>
      </c>
      <c r="D133" s="319">
        <f t="shared" si="1"/>
        <v>0.11349999999999999</v>
      </c>
      <c r="E133" s="320">
        <v>7.1199999999999999E-2</v>
      </c>
      <c r="F133" s="321">
        <v>0.3</v>
      </c>
    </row>
    <row r="134" spans="1:6" ht="16">
      <c r="A134" s="317" t="s">
        <v>596</v>
      </c>
      <c r="B134" s="318" t="s">
        <v>630</v>
      </c>
      <c r="C134" s="319">
        <v>8.5000000000000006E-2</v>
      </c>
      <c r="D134" s="319">
        <f t="shared" ref="D134:D196" si="2">$B$1+E134</f>
        <v>0.17180000000000001</v>
      </c>
      <c r="E134" s="320">
        <v>0.1295</v>
      </c>
      <c r="F134" s="321">
        <v>0.3</v>
      </c>
    </row>
    <row r="135" spans="1:6" ht="16">
      <c r="A135" s="317" t="s">
        <v>312</v>
      </c>
      <c r="B135" s="318" t="s">
        <v>575</v>
      </c>
      <c r="C135" s="319">
        <v>5.5199999999999999E-2</v>
      </c>
      <c r="D135" s="319">
        <f t="shared" si="2"/>
        <v>0.12639999999999998</v>
      </c>
      <c r="E135" s="320">
        <v>8.4099999999999994E-2</v>
      </c>
      <c r="F135" s="321">
        <v>0.3</v>
      </c>
    </row>
    <row r="136" spans="1:6" ht="16">
      <c r="A136" s="317" t="s">
        <v>313</v>
      </c>
      <c r="B136" s="318" t="s">
        <v>568</v>
      </c>
      <c r="C136" s="319">
        <v>0</v>
      </c>
      <c r="D136" s="319">
        <f t="shared" si="2"/>
        <v>4.2299999999999997E-2</v>
      </c>
      <c r="E136" s="320">
        <v>0</v>
      </c>
      <c r="F136" s="321">
        <v>0.22</v>
      </c>
    </row>
    <row r="137" spans="1:6" ht="16">
      <c r="A137" s="317" t="s">
        <v>314</v>
      </c>
      <c r="B137" s="318" t="s">
        <v>571</v>
      </c>
      <c r="C137" s="319">
        <v>1.8700000000000001E-2</v>
      </c>
      <c r="D137" s="319">
        <f t="shared" si="2"/>
        <v>7.0800000000000002E-2</v>
      </c>
      <c r="E137" s="320">
        <v>2.8500000000000001E-2</v>
      </c>
      <c r="F137" s="321">
        <v>0.15</v>
      </c>
    </row>
    <row r="138" spans="1:6" ht="16">
      <c r="A138" s="317" t="s">
        <v>315</v>
      </c>
      <c r="B138" s="318" t="s">
        <v>573</v>
      </c>
      <c r="C138" s="319">
        <v>6.3700000000000007E-2</v>
      </c>
      <c r="D138" s="319">
        <f t="shared" si="2"/>
        <v>0.1394</v>
      </c>
      <c r="E138" s="320">
        <v>9.7100000000000006E-2</v>
      </c>
      <c r="F138" s="321">
        <v>0.28999999999999998</v>
      </c>
    </row>
    <row r="139" spans="1:6" ht="16">
      <c r="A139" s="317" t="s">
        <v>776</v>
      </c>
      <c r="B139" s="318" t="s">
        <v>628</v>
      </c>
      <c r="C139" s="319">
        <v>1.3172608945359637E-2</v>
      </c>
      <c r="D139" s="319">
        <f t="shared" si="2"/>
        <v>6.2366864403681901E-2</v>
      </c>
      <c r="E139" s="320">
        <v>2.0066864403681904E-2</v>
      </c>
      <c r="F139" s="321">
        <v>0.16120225505978519</v>
      </c>
    </row>
    <row r="140" spans="1:6" ht="16">
      <c r="A140" s="317" t="s">
        <v>316</v>
      </c>
      <c r="B140" s="318" t="s">
        <v>571</v>
      </c>
      <c r="C140" s="319">
        <v>1.8700000000000001E-2</v>
      </c>
      <c r="D140" s="319">
        <f t="shared" si="2"/>
        <v>7.0800000000000002E-2</v>
      </c>
      <c r="E140" s="320">
        <v>2.8500000000000001E-2</v>
      </c>
      <c r="F140" s="321">
        <v>0.25</v>
      </c>
    </row>
    <row r="141" spans="1:6" ht="16">
      <c r="A141" s="317" t="s">
        <v>317</v>
      </c>
      <c r="B141" s="318" t="s">
        <v>566</v>
      </c>
      <c r="C141" s="319">
        <v>4.6699999999999998E-2</v>
      </c>
      <c r="D141" s="319">
        <f t="shared" si="2"/>
        <v>0.11349999999999999</v>
      </c>
      <c r="E141" s="320">
        <v>7.1199999999999999E-2</v>
      </c>
      <c r="F141" s="321">
        <v>0.3</v>
      </c>
    </row>
    <row r="142" spans="1:6" ht="16">
      <c r="A142" s="317" t="s">
        <v>318</v>
      </c>
      <c r="B142" s="318" t="s">
        <v>571</v>
      </c>
      <c r="C142" s="319">
        <v>1.8700000000000001E-2</v>
      </c>
      <c r="D142" s="319">
        <f t="shared" si="2"/>
        <v>7.0800000000000002E-2</v>
      </c>
      <c r="E142" s="320">
        <v>2.8500000000000001E-2</v>
      </c>
      <c r="F142" s="321">
        <v>0.1</v>
      </c>
    </row>
    <row r="143" spans="1:6" ht="16">
      <c r="A143" s="317" t="s">
        <v>319</v>
      </c>
      <c r="B143" s="318" t="s">
        <v>567</v>
      </c>
      <c r="C143" s="319">
        <v>1.3599999999999999E-2</v>
      </c>
      <c r="D143" s="319">
        <f t="shared" si="2"/>
        <v>6.3E-2</v>
      </c>
      <c r="E143" s="320">
        <v>2.07E-2</v>
      </c>
      <c r="F143" s="321">
        <v>0.29499999999999998</v>
      </c>
    </row>
    <row r="144" spans="1:6" ht="16">
      <c r="A144" s="317" t="s">
        <v>320</v>
      </c>
      <c r="B144" s="318" t="s">
        <v>565</v>
      </c>
      <c r="C144" s="319">
        <v>1.6199999999999999E-2</v>
      </c>
      <c r="D144" s="319">
        <f t="shared" si="2"/>
        <v>6.6900000000000001E-2</v>
      </c>
      <c r="E144" s="320">
        <v>2.46E-2</v>
      </c>
      <c r="F144" s="321">
        <v>0.25</v>
      </c>
    </row>
    <row r="145" spans="1:6" ht="16">
      <c r="A145" s="317" t="s">
        <v>321</v>
      </c>
      <c r="B145" s="318" t="s">
        <v>577</v>
      </c>
      <c r="C145" s="319">
        <v>7.1999999999999998E-3</v>
      </c>
      <c r="D145" s="319">
        <f t="shared" si="2"/>
        <v>5.33E-2</v>
      </c>
      <c r="E145" s="320">
        <v>1.0999999999999999E-2</v>
      </c>
      <c r="F145" s="321">
        <v>0.19</v>
      </c>
    </row>
    <row r="146" spans="1:6" ht="16">
      <c r="A146" s="317" t="s">
        <v>322</v>
      </c>
      <c r="B146" s="318" t="s">
        <v>581</v>
      </c>
      <c r="C146" s="319">
        <v>1.0200000000000001E-2</v>
      </c>
      <c r="D146" s="319">
        <f t="shared" si="2"/>
        <v>5.7799999999999997E-2</v>
      </c>
      <c r="E146" s="320">
        <v>1.55E-2</v>
      </c>
      <c r="F146" s="321">
        <v>0.315</v>
      </c>
    </row>
    <row r="147" spans="1:6" ht="16">
      <c r="A147" s="317" t="s">
        <v>323</v>
      </c>
      <c r="B147" s="318" t="s">
        <v>562</v>
      </c>
      <c r="C147" s="319">
        <v>4.1999999999999997E-3</v>
      </c>
      <c r="D147" s="319">
        <f t="shared" si="2"/>
        <v>4.87E-2</v>
      </c>
      <c r="E147" s="320">
        <v>6.4000000000000003E-3</v>
      </c>
      <c r="F147" s="321">
        <v>0.1</v>
      </c>
    </row>
    <row r="148" spans="1:6" ht="16">
      <c r="A148" s="317" t="s">
        <v>499</v>
      </c>
      <c r="B148" s="318" t="s">
        <v>581</v>
      </c>
      <c r="C148" s="319">
        <v>1.0200000000000001E-2</v>
      </c>
      <c r="D148" s="319">
        <f t="shared" si="2"/>
        <v>5.7799999999999997E-2</v>
      </c>
      <c r="E148" s="320">
        <v>1.55E-2</v>
      </c>
      <c r="F148" s="321">
        <v>0.18940000000000001</v>
      </c>
    </row>
    <row r="149" spans="1:6" ht="16">
      <c r="A149" s="317" t="s">
        <v>777</v>
      </c>
      <c r="B149" s="318" t="s">
        <v>628</v>
      </c>
      <c r="C149" s="319">
        <v>5.0672304468171489E-2</v>
      </c>
      <c r="D149" s="319">
        <f t="shared" si="2"/>
        <v>0.11949308050536839</v>
      </c>
      <c r="E149" s="320">
        <v>7.7193080505368383E-2</v>
      </c>
      <c r="F149" s="321">
        <v>0.27390173905276305</v>
      </c>
    </row>
    <row r="150" spans="1:6" ht="16">
      <c r="A150" s="317" t="s">
        <v>324</v>
      </c>
      <c r="B150" s="318" t="s">
        <v>571</v>
      </c>
      <c r="C150" s="319">
        <v>1.8700000000000001E-2</v>
      </c>
      <c r="D150" s="319">
        <f t="shared" si="2"/>
        <v>7.0800000000000002E-2</v>
      </c>
      <c r="E150" s="320">
        <v>2.8500000000000001E-2</v>
      </c>
      <c r="F150" s="321">
        <v>0.16</v>
      </c>
    </row>
    <row r="151" spans="1:6" ht="16">
      <c r="A151" s="317" t="s">
        <v>325</v>
      </c>
      <c r="B151" s="318" t="s">
        <v>628</v>
      </c>
      <c r="C151" s="319">
        <v>2.5600000000000001E-2</v>
      </c>
      <c r="D151" s="319">
        <f t="shared" si="2"/>
        <v>8.1299999999999997E-2</v>
      </c>
      <c r="E151" s="320">
        <v>3.9E-2</v>
      </c>
      <c r="F151" s="321">
        <v>8.14E-2</v>
      </c>
    </row>
    <row r="152" spans="1:6" ht="16">
      <c r="A152" s="317" t="s">
        <v>486</v>
      </c>
      <c r="B152" s="318" t="s">
        <v>566</v>
      </c>
      <c r="C152" s="319">
        <v>4.6699999999999998E-2</v>
      </c>
      <c r="D152" s="319">
        <f t="shared" si="2"/>
        <v>0.11349999999999999</v>
      </c>
      <c r="E152" s="320">
        <v>7.1199999999999999E-2</v>
      </c>
      <c r="F152" s="321">
        <v>0.28000000000000003</v>
      </c>
    </row>
    <row r="153" spans="1:6" ht="16">
      <c r="A153" s="317" t="s">
        <v>778</v>
      </c>
      <c r="B153" s="318" t="s">
        <v>628</v>
      </c>
      <c r="C153" s="319">
        <v>4.9151830261848689E-2</v>
      </c>
      <c r="D153" s="319">
        <f t="shared" si="2"/>
        <v>0.117176823349771</v>
      </c>
      <c r="E153" s="320">
        <v>7.4876823349770999E-2</v>
      </c>
      <c r="F153" s="321">
        <v>0.26526547543374851</v>
      </c>
    </row>
    <row r="154" spans="1:6" ht="16">
      <c r="A154" s="317" t="s">
        <v>326</v>
      </c>
      <c r="B154" s="318" t="s">
        <v>574</v>
      </c>
      <c r="C154" s="319">
        <v>5.1000000000000004E-3</v>
      </c>
      <c r="D154" s="319">
        <f t="shared" si="2"/>
        <v>5.0099999999999999E-2</v>
      </c>
      <c r="E154" s="320">
        <v>7.7999999999999996E-3</v>
      </c>
      <c r="F154" s="321">
        <v>0.2</v>
      </c>
    </row>
    <row r="155" spans="1:6" ht="16">
      <c r="A155" s="317" t="s">
        <v>368</v>
      </c>
      <c r="B155" s="318" t="s">
        <v>573</v>
      </c>
      <c r="C155" s="319">
        <v>6.3700000000000007E-2</v>
      </c>
      <c r="D155" s="319">
        <f t="shared" si="2"/>
        <v>0.1394</v>
      </c>
      <c r="E155" s="320">
        <v>9.7100000000000006E-2</v>
      </c>
      <c r="F155" s="321">
        <v>0.3</v>
      </c>
    </row>
    <row r="156" spans="1:6" ht="16">
      <c r="A156" s="317" t="s">
        <v>327</v>
      </c>
      <c r="B156" s="318" t="s">
        <v>570</v>
      </c>
      <c r="C156" s="319">
        <v>2.5600000000000001E-2</v>
      </c>
      <c r="D156" s="319">
        <f t="shared" si="2"/>
        <v>8.1299999999999997E-2</v>
      </c>
      <c r="E156" s="320">
        <v>3.9E-2</v>
      </c>
      <c r="F156" s="321">
        <v>0.15</v>
      </c>
    </row>
    <row r="157" spans="1:6" ht="16">
      <c r="A157" s="317" t="s">
        <v>500</v>
      </c>
      <c r="B157" s="318" t="s">
        <v>583</v>
      </c>
      <c r="C157" s="319">
        <v>2.1299999999999999E-2</v>
      </c>
      <c r="D157" s="319">
        <f t="shared" si="2"/>
        <v>7.4699999999999989E-2</v>
      </c>
      <c r="E157" s="320">
        <v>3.2399999999999998E-2</v>
      </c>
      <c r="F157" s="321">
        <v>0.18940000000000001</v>
      </c>
    </row>
    <row r="158" spans="1:6" ht="16">
      <c r="A158" s="322" t="s">
        <v>597</v>
      </c>
      <c r="B158" s="318" t="s">
        <v>628</v>
      </c>
      <c r="C158" s="319">
        <v>5.5199999999999999E-2</v>
      </c>
      <c r="D158" s="319">
        <f t="shared" si="2"/>
        <v>0.12639999999999998</v>
      </c>
      <c r="E158" s="320">
        <v>8.4099999999999994E-2</v>
      </c>
      <c r="F158" s="321">
        <v>0.1265</v>
      </c>
    </row>
    <row r="159" spans="1:6" ht="16">
      <c r="A159" s="317" t="s">
        <v>328</v>
      </c>
      <c r="B159" s="318" t="s">
        <v>568</v>
      </c>
      <c r="C159" s="319">
        <v>0</v>
      </c>
      <c r="D159" s="319">
        <f t="shared" si="2"/>
        <v>4.2299999999999997E-2</v>
      </c>
      <c r="E159" s="320">
        <v>0</v>
      </c>
      <c r="F159" s="321">
        <v>0.17</v>
      </c>
    </row>
    <row r="160" spans="1:6" ht="16">
      <c r="A160" s="317" t="s">
        <v>369</v>
      </c>
      <c r="B160" s="318" t="s">
        <v>581</v>
      </c>
      <c r="C160" s="319">
        <v>1.0200000000000001E-2</v>
      </c>
      <c r="D160" s="319">
        <f t="shared" si="2"/>
        <v>5.7799999999999997E-2</v>
      </c>
      <c r="E160" s="320">
        <v>1.55E-2</v>
      </c>
      <c r="F160" s="321">
        <v>0.21</v>
      </c>
    </row>
    <row r="161" spans="1:6" ht="16">
      <c r="A161" s="317" t="s">
        <v>329</v>
      </c>
      <c r="B161" s="318" t="s">
        <v>581</v>
      </c>
      <c r="C161" s="319">
        <v>1.0200000000000001E-2</v>
      </c>
      <c r="D161" s="319">
        <f t="shared" si="2"/>
        <v>5.7799999999999997E-2</v>
      </c>
      <c r="E161" s="320">
        <v>1.55E-2</v>
      </c>
      <c r="F161" s="321">
        <v>0.22</v>
      </c>
    </row>
    <row r="162" spans="1:6" ht="16">
      <c r="A162" s="317" t="s">
        <v>598</v>
      </c>
      <c r="B162" s="318" t="s">
        <v>573</v>
      </c>
      <c r="C162" s="319">
        <v>6.3700000000000007E-2</v>
      </c>
      <c r="D162" s="319">
        <f t="shared" si="2"/>
        <v>0.1394</v>
      </c>
      <c r="E162" s="320">
        <v>9.7100000000000006E-2</v>
      </c>
      <c r="F162" s="321">
        <v>0.3</v>
      </c>
    </row>
    <row r="163" spans="1:6" ht="16">
      <c r="A163" s="323" t="s">
        <v>599</v>
      </c>
      <c r="B163" s="318" t="s">
        <v>628</v>
      </c>
      <c r="C163" s="319">
        <v>8.5000000000000006E-2</v>
      </c>
      <c r="D163" s="319">
        <f t="shared" si="2"/>
        <v>0.17180000000000001</v>
      </c>
      <c r="E163" s="320">
        <v>0.1295</v>
      </c>
      <c r="F163" s="321">
        <v>0.1719</v>
      </c>
    </row>
    <row r="164" spans="1:6" ht="16">
      <c r="A164" s="317" t="s">
        <v>330</v>
      </c>
      <c r="B164" s="318" t="s">
        <v>570</v>
      </c>
      <c r="C164" s="230">
        <v>2.5600000000000001E-2</v>
      </c>
      <c r="D164" s="319">
        <f t="shared" si="2"/>
        <v>8.1299999999999997E-2</v>
      </c>
      <c r="E164" s="320">
        <v>3.9E-2</v>
      </c>
      <c r="F164" s="321">
        <v>0.27</v>
      </c>
    </row>
    <row r="165" spans="1:6" ht="16">
      <c r="A165" s="317" t="s">
        <v>779</v>
      </c>
      <c r="B165" s="318" t="s">
        <v>562</v>
      </c>
      <c r="C165" s="319">
        <v>4.1999999999999997E-3</v>
      </c>
      <c r="D165" s="319">
        <f t="shared" si="2"/>
        <v>4.87E-2</v>
      </c>
      <c r="E165" s="320">
        <v>6.4000000000000003E-3</v>
      </c>
      <c r="F165" s="321">
        <v>0.26400000000000001</v>
      </c>
    </row>
    <row r="166" spans="1:6" ht="16">
      <c r="A166" s="317" t="s">
        <v>331</v>
      </c>
      <c r="B166" s="318" t="s">
        <v>581</v>
      </c>
      <c r="C166" s="319">
        <v>1.0200000000000001E-2</v>
      </c>
      <c r="D166" s="319">
        <f t="shared" si="2"/>
        <v>5.7799999999999997E-2</v>
      </c>
      <c r="E166" s="320">
        <v>1.55E-2</v>
      </c>
      <c r="F166" s="321">
        <v>0.25</v>
      </c>
    </row>
    <row r="167" spans="1:6" ht="16">
      <c r="A167" s="317" t="s">
        <v>332</v>
      </c>
      <c r="B167" s="318" t="s">
        <v>629</v>
      </c>
      <c r="C167" s="319">
        <v>0.10199999999999999</v>
      </c>
      <c r="D167" s="319">
        <f t="shared" si="2"/>
        <v>0.19770000000000001</v>
      </c>
      <c r="E167" s="320">
        <v>0.15540000000000001</v>
      </c>
      <c r="F167" s="321">
        <v>0.3</v>
      </c>
    </row>
    <row r="168" spans="1:6" ht="16">
      <c r="A168" s="317" t="s">
        <v>426</v>
      </c>
      <c r="B168" s="318" t="s">
        <v>570</v>
      </c>
      <c r="C168" s="319">
        <v>2.5600000000000001E-2</v>
      </c>
      <c r="D168" s="319">
        <f t="shared" si="2"/>
        <v>8.1299999999999997E-2</v>
      </c>
      <c r="E168" s="320">
        <v>3.9E-2</v>
      </c>
      <c r="F168" s="321">
        <v>0.2</v>
      </c>
    </row>
    <row r="169" spans="1:6" ht="16">
      <c r="A169" s="317" t="s">
        <v>370</v>
      </c>
      <c r="B169" s="318" t="s">
        <v>575</v>
      </c>
      <c r="C169" s="319">
        <v>5.5199999999999999E-2</v>
      </c>
      <c r="D169" s="319">
        <f t="shared" si="2"/>
        <v>0.12639999999999998</v>
      </c>
      <c r="E169" s="320">
        <v>8.4099999999999994E-2</v>
      </c>
      <c r="F169" s="321">
        <v>0.28000000000000003</v>
      </c>
    </row>
    <row r="170" spans="1:6" ht="16">
      <c r="A170" s="322" t="s">
        <v>600</v>
      </c>
      <c r="B170" s="318" t="s">
        <v>628</v>
      </c>
      <c r="C170" s="319">
        <v>0.17499999999999999</v>
      </c>
      <c r="D170" s="319">
        <f t="shared" si="2"/>
        <v>0.30890000000000001</v>
      </c>
      <c r="E170" s="320">
        <v>0.2666</v>
      </c>
      <c r="F170" s="321">
        <v>0.309</v>
      </c>
    </row>
    <row r="171" spans="1:6" ht="16">
      <c r="A171" s="317" t="s">
        <v>371</v>
      </c>
      <c r="B171" s="318" t="s">
        <v>573</v>
      </c>
      <c r="C171" s="319">
        <v>6.3700000000000007E-2</v>
      </c>
      <c r="D171" s="319">
        <f t="shared" si="2"/>
        <v>0.1394</v>
      </c>
      <c r="E171" s="320">
        <v>9.7100000000000006E-2</v>
      </c>
      <c r="F171" s="321">
        <v>0.36</v>
      </c>
    </row>
    <row r="172" spans="1:6" ht="16">
      <c r="A172" s="317" t="s">
        <v>601</v>
      </c>
      <c r="B172" s="318" t="s">
        <v>566</v>
      </c>
      <c r="C172" s="319">
        <v>4.6699999999999998E-2</v>
      </c>
      <c r="D172" s="319">
        <f t="shared" si="2"/>
        <v>0.11349999999999999</v>
      </c>
      <c r="E172" s="320">
        <v>7.1199999999999999E-2</v>
      </c>
      <c r="F172" s="321">
        <v>0.25</v>
      </c>
    </row>
    <row r="173" spans="1:6" ht="16">
      <c r="A173" s="317" t="s">
        <v>333</v>
      </c>
      <c r="B173" s="318" t="s">
        <v>568</v>
      </c>
      <c r="C173" s="319">
        <v>0</v>
      </c>
      <c r="D173" s="319">
        <f t="shared" si="2"/>
        <v>4.2299999999999997E-2</v>
      </c>
      <c r="E173" s="320">
        <v>0</v>
      </c>
      <c r="F173" s="321">
        <v>0.20599999999999999</v>
      </c>
    </row>
    <row r="174" spans="1:6" ht="16">
      <c r="A174" s="317" t="s">
        <v>334</v>
      </c>
      <c r="B174" s="318" t="s">
        <v>568</v>
      </c>
      <c r="C174" s="319">
        <v>0</v>
      </c>
      <c r="D174" s="319">
        <f t="shared" si="2"/>
        <v>4.2299999999999997E-2</v>
      </c>
      <c r="E174" s="320">
        <v>0</v>
      </c>
      <c r="F174" s="321">
        <v>0.1961</v>
      </c>
    </row>
    <row r="175" spans="1:6" ht="16">
      <c r="A175" s="323" t="s">
        <v>602</v>
      </c>
      <c r="B175" s="318" t="s">
        <v>628</v>
      </c>
      <c r="C175" s="319">
        <v>0.10199999999999999</v>
      </c>
      <c r="D175" s="319">
        <f t="shared" si="2"/>
        <v>0.19770000000000001</v>
      </c>
      <c r="E175" s="320">
        <v>0.15540000000000001</v>
      </c>
      <c r="F175" s="321">
        <v>0.1978</v>
      </c>
    </row>
    <row r="176" spans="1:6" ht="16">
      <c r="A176" s="317" t="s">
        <v>335</v>
      </c>
      <c r="B176" s="318" t="s">
        <v>574</v>
      </c>
      <c r="C176" s="319">
        <v>5.1000000000000004E-3</v>
      </c>
      <c r="D176" s="319">
        <f t="shared" si="2"/>
        <v>5.0099999999999999E-2</v>
      </c>
      <c r="E176" s="320">
        <v>7.7999999999999996E-3</v>
      </c>
      <c r="F176" s="321">
        <v>0.2</v>
      </c>
    </row>
    <row r="177" spans="1:6" ht="16">
      <c r="A177" s="317" t="s">
        <v>603</v>
      </c>
      <c r="B177" s="318" t="s">
        <v>575</v>
      </c>
      <c r="C177" s="319">
        <v>5.5199999999999999E-2</v>
      </c>
      <c r="D177" s="319">
        <f t="shared" si="2"/>
        <v>0.12639999999999998</v>
      </c>
      <c r="E177" s="320">
        <v>8.4099999999999994E-2</v>
      </c>
      <c r="F177" s="321">
        <v>0.18</v>
      </c>
    </row>
    <row r="178" spans="1:6" ht="16">
      <c r="A178" s="317" t="s">
        <v>604</v>
      </c>
      <c r="B178" s="318" t="s">
        <v>563</v>
      </c>
      <c r="C178" s="319">
        <v>3.8300000000000001E-2</v>
      </c>
      <c r="D178" s="319">
        <f t="shared" si="2"/>
        <v>0.10059999999999999</v>
      </c>
      <c r="E178" s="320">
        <v>5.8299999999999998E-2</v>
      </c>
      <c r="F178" s="321">
        <v>0.3</v>
      </c>
    </row>
    <row r="179" spans="1:6" ht="16">
      <c r="A179" s="317" t="s">
        <v>336</v>
      </c>
      <c r="B179" s="318" t="s">
        <v>567</v>
      </c>
      <c r="C179" s="319">
        <v>1.3599999999999999E-2</v>
      </c>
      <c r="D179" s="319">
        <f t="shared" si="2"/>
        <v>6.3E-2</v>
      </c>
      <c r="E179" s="320">
        <v>2.07E-2</v>
      </c>
      <c r="F179" s="321">
        <v>0.2</v>
      </c>
    </row>
    <row r="180" spans="1:6" ht="16">
      <c r="A180" s="317" t="s">
        <v>605</v>
      </c>
      <c r="B180" s="318" t="s">
        <v>575</v>
      </c>
      <c r="C180" s="319">
        <v>5.5199999999999999E-2</v>
      </c>
      <c r="D180" s="319">
        <f t="shared" si="2"/>
        <v>0.12639999999999998</v>
      </c>
      <c r="E180" s="320">
        <v>8.4099999999999994E-2</v>
      </c>
      <c r="F180" s="321">
        <v>0.27</v>
      </c>
    </row>
    <row r="181" spans="1:6" ht="16">
      <c r="A181" s="317" t="s">
        <v>780</v>
      </c>
      <c r="B181" s="318" t="s">
        <v>570</v>
      </c>
      <c r="C181" s="319">
        <v>2.5600000000000001E-2</v>
      </c>
      <c r="D181" s="319">
        <f t="shared" si="2"/>
        <v>8.1299999999999997E-2</v>
      </c>
      <c r="E181" s="320">
        <v>3.9E-2</v>
      </c>
      <c r="F181" s="321">
        <v>0.3</v>
      </c>
    </row>
    <row r="182" spans="1:6" ht="16">
      <c r="A182" s="317" t="s">
        <v>337</v>
      </c>
      <c r="B182" s="318" t="s">
        <v>573</v>
      </c>
      <c r="C182" s="319">
        <v>6.3700000000000007E-2</v>
      </c>
      <c r="D182" s="319">
        <f t="shared" si="2"/>
        <v>0.1394</v>
      </c>
      <c r="E182" s="320">
        <v>9.7100000000000006E-2</v>
      </c>
      <c r="F182" s="321">
        <v>0.15</v>
      </c>
    </row>
    <row r="183" spans="1:6" ht="16">
      <c r="A183" s="317" t="s">
        <v>338</v>
      </c>
      <c r="B183" s="318" t="s">
        <v>572</v>
      </c>
      <c r="C183" s="319">
        <v>3.0599999999999999E-2</v>
      </c>
      <c r="D183" s="319">
        <f t="shared" si="2"/>
        <v>8.8900000000000007E-2</v>
      </c>
      <c r="E183" s="320">
        <v>4.6600000000000003E-2</v>
      </c>
      <c r="F183" s="321">
        <v>0.25</v>
      </c>
    </row>
    <row r="184" spans="1:6" ht="16">
      <c r="A184" s="324" t="s">
        <v>781</v>
      </c>
      <c r="B184" s="318" t="s">
        <v>628</v>
      </c>
      <c r="C184" s="319">
        <v>4.9151830261848689E-2</v>
      </c>
      <c r="D184" s="319">
        <f t="shared" si="2"/>
        <v>0.117176823349771</v>
      </c>
      <c r="E184" s="320">
        <v>7.4876823349770999E-2</v>
      </c>
      <c r="F184" s="321">
        <v>0.26526547543374851</v>
      </c>
    </row>
    <row r="185" spans="1:6" ht="16">
      <c r="A185" s="317" t="s">
        <v>427</v>
      </c>
      <c r="B185" s="318" t="s">
        <v>575</v>
      </c>
      <c r="C185" s="319">
        <v>5.5199999999999999E-2</v>
      </c>
      <c r="D185" s="319">
        <f t="shared" si="2"/>
        <v>0.12639999999999998</v>
      </c>
      <c r="E185" s="320">
        <v>8.4099999999999994E-2</v>
      </c>
      <c r="F185" s="321">
        <v>0.3</v>
      </c>
    </row>
    <row r="186" spans="1:6" ht="16">
      <c r="A186" s="317" t="s">
        <v>339</v>
      </c>
      <c r="B186" s="318" t="s">
        <v>629</v>
      </c>
      <c r="C186" s="319">
        <v>0.10199999999999999</v>
      </c>
      <c r="D186" s="319">
        <f t="shared" si="2"/>
        <v>0.19770000000000001</v>
      </c>
      <c r="E186" s="320">
        <v>0.15540000000000001</v>
      </c>
      <c r="F186" s="321">
        <v>0.18</v>
      </c>
    </row>
    <row r="187" spans="1:6" ht="16">
      <c r="A187" s="317" t="s">
        <v>340</v>
      </c>
      <c r="B187" s="318" t="s">
        <v>562</v>
      </c>
      <c r="C187" s="319">
        <v>4.1999999999999997E-3</v>
      </c>
      <c r="D187" s="319">
        <f t="shared" si="2"/>
        <v>4.87E-2</v>
      </c>
      <c r="E187" s="320">
        <v>6.4000000000000003E-3</v>
      </c>
      <c r="F187" s="321">
        <v>0.09</v>
      </c>
    </row>
    <row r="188" spans="1:6" ht="16">
      <c r="A188" s="317" t="s">
        <v>341</v>
      </c>
      <c r="B188" s="318" t="s">
        <v>574</v>
      </c>
      <c r="C188" s="319">
        <v>5.1000000000000004E-3</v>
      </c>
      <c r="D188" s="319">
        <f t="shared" si="2"/>
        <v>5.0099999999999999E-2</v>
      </c>
      <c r="E188" s="320">
        <v>7.7999999999999996E-3</v>
      </c>
      <c r="F188" s="321">
        <v>0.25</v>
      </c>
    </row>
    <row r="189" spans="1:6" ht="16">
      <c r="A189" s="317" t="s">
        <v>342</v>
      </c>
      <c r="B189" s="318" t="s">
        <v>569</v>
      </c>
      <c r="C189" s="319">
        <v>2.3E-3</v>
      </c>
      <c r="D189" s="319">
        <f t="shared" si="2"/>
        <v>4.4600000000000001E-2</v>
      </c>
      <c r="E189" s="320">
        <v>2.3E-3</v>
      </c>
      <c r="F189" s="321">
        <v>0.25</v>
      </c>
    </row>
    <row r="190" spans="1:6" ht="16">
      <c r="A190" s="317" t="s">
        <v>343</v>
      </c>
      <c r="B190" s="318" t="s">
        <v>567</v>
      </c>
      <c r="C190" s="319">
        <v>1.3599999999999999E-2</v>
      </c>
      <c r="D190" s="319">
        <f t="shared" si="2"/>
        <v>6.3E-2</v>
      </c>
      <c r="E190" s="320">
        <v>2.07E-2</v>
      </c>
      <c r="F190" s="321">
        <v>0.25</v>
      </c>
    </row>
    <row r="191" spans="1:6" ht="16">
      <c r="A191" s="317" t="s">
        <v>634</v>
      </c>
      <c r="B191" s="318" t="s">
        <v>572</v>
      </c>
      <c r="C191" s="319">
        <v>3.0599999999999999E-2</v>
      </c>
      <c r="D191" s="319">
        <f t="shared" si="2"/>
        <v>8.8900000000000007E-2</v>
      </c>
      <c r="E191" s="320">
        <v>4.6600000000000003E-2</v>
      </c>
      <c r="F191" s="321">
        <v>0.15</v>
      </c>
    </row>
    <row r="192" spans="1:6" ht="16">
      <c r="A192" s="317" t="s">
        <v>344</v>
      </c>
      <c r="B192" s="318" t="s">
        <v>609</v>
      </c>
      <c r="C192" s="319">
        <v>0.17499999999999999</v>
      </c>
      <c r="D192" s="319">
        <f t="shared" si="2"/>
        <v>0.30890000000000001</v>
      </c>
      <c r="E192" s="320">
        <v>0.2666</v>
      </c>
      <c r="F192" s="321">
        <v>0.34</v>
      </c>
    </row>
    <row r="193" spans="1:6" ht="16">
      <c r="A193" s="317" t="s">
        <v>345</v>
      </c>
      <c r="B193" s="318" t="s">
        <v>570</v>
      </c>
      <c r="C193" s="319">
        <v>2.5600000000000001E-2</v>
      </c>
      <c r="D193" s="319">
        <f t="shared" si="2"/>
        <v>8.1299999999999997E-2</v>
      </c>
      <c r="E193" s="320">
        <v>3.9E-2</v>
      </c>
      <c r="F193" s="321">
        <v>0.2</v>
      </c>
    </row>
    <row r="194" spans="1:6" ht="16">
      <c r="A194" s="322" t="s">
        <v>782</v>
      </c>
      <c r="B194" s="318" t="s">
        <v>628</v>
      </c>
      <c r="C194" s="319">
        <v>0.10199999999999999</v>
      </c>
      <c r="D194" s="319">
        <f t="shared" si="2"/>
        <v>0.19770000000000001</v>
      </c>
      <c r="E194" s="320">
        <v>0.15540000000000001</v>
      </c>
      <c r="F194" s="321">
        <v>0.1978</v>
      </c>
    </row>
    <row r="195" spans="1:6" ht="16">
      <c r="A195" s="317" t="s">
        <v>346</v>
      </c>
      <c r="B195" s="318" t="s">
        <v>580</v>
      </c>
      <c r="C195" s="327">
        <v>7.6499999999999999E-2</v>
      </c>
      <c r="D195" s="319">
        <f t="shared" si="2"/>
        <v>0.15889999999999999</v>
      </c>
      <c r="E195" s="320">
        <v>0.1166</v>
      </c>
      <c r="F195" s="321">
        <v>0.3</v>
      </c>
    </row>
    <row r="196" spans="1:6" ht="16">
      <c r="A196" s="323" t="s">
        <v>606</v>
      </c>
      <c r="B196" s="318" t="s">
        <v>628</v>
      </c>
      <c r="C196" s="3">
        <v>7.6499999999999999E-2</v>
      </c>
      <c r="D196" s="319">
        <f t="shared" si="2"/>
        <v>0.15889999999999999</v>
      </c>
      <c r="E196" s="320">
        <v>0.1166</v>
      </c>
      <c r="F196" s="321">
        <v>0.159</v>
      </c>
    </row>
    <row r="197" spans="1:6">
      <c r="D197" s="153"/>
    </row>
    <row r="198" spans="1:6">
      <c r="D198" s="153"/>
    </row>
    <row r="199" spans="1:6">
      <c r="D199" s="153"/>
    </row>
    <row r="200" spans="1:6">
      <c r="A200" s="256" t="s">
        <v>350</v>
      </c>
      <c r="B200" s="257" t="s">
        <v>373</v>
      </c>
      <c r="C200" s="257" t="s">
        <v>783</v>
      </c>
      <c r="D200" s="257" t="s">
        <v>635</v>
      </c>
      <c r="E200" s="257" t="s">
        <v>636</v>
      </c>
      <c r="F200" s="135" t="s">
        <v>784</v>
      </c>
    </row>
    <row r="201" spans="1:6">
      <c r="A201" s="1" t="s">
        <v>352</v>
      </c>
      <c r="B201" s="3">
        <f>$B$1+E201</f>
        <v>0.11949308050536839</v>
      </c>
      <c r="C201" s="3">
        <v>5.0672304468171489E-2</v>
      </c>
      <c r="D201" s="3">
        <v>0.27390173905276305</v>
      </c>
      <c r="E201" s="3">
        <v>7.7193080505368383E-2</v>
      </c>
      <c r="F201" s="328">
        <v>2340875.22920722</v>
      </c>
    </row>
    <row r="202" spans="1:6">
      <c r="A202" s="1" t="s">
        <v>424</v>
      </c>
      <c r="B202" s="3">
        <f t="shared" ref="B202:B210" si="3">$B$1+E202</f>
        <v>5.7223235648452254E-2</v>
      </c>
      <c r="C202" s="3">
        <v>9.7961466944702924E-3</v>
      </c>
      <c r="D202" s="3">
        <v>0.25654534735852497</v>
      </c>
      <c r="E202" s="3">
        <v>1.4923235648452259E-2</v>
      </c>
      <c r="F202" s="328">
        <v>34731689.374811396</v>
      </c>
    </row>
    <row r="203" spans="1:6">
      <c r="A203" s="1" t="s">
        <v>354</v>
      </c>
      <c r="B203" s="3">
        <f t="shared" si="3"/>
        <v>4.2340821732004208E-2</v>
      </c>
      <c r="C203" s="3">
        <v>2.6796847845597547E-5</v>
      </c>
      <c r="D203" s="3">
        <v>0.29735221227379716</v>
      </c>
      <c r="E203" s="3">
        <v>4.0821732004207806E-5</v>
      </c>
      <c r="F203" s="328">
        <v>2018608.836750448</v>
      </c>
    </row>
    <row r="204" spans="1:6">
      <c r="A204" s="1" t="s">
        <v>356</v>
      </c>
      <c r="B204" s="3">
        <f t="shared" si="3"/>
        <v>0.117176823349771</v>
      </c>
      <c r="C204" s="3">
        <v>4.9151830261848689E-2</v>
      </c>
      <c r="D204" s="3">
        <v>0.26526547543374851</v>
      </c>
      <c r="E204" s="3">
        <v>7.4876823349770999E-2</v>
      </c>
      <c r="F204" s="328">
        <v>347814.13246985013</v>
      </c>
    </row>
    <row r="205" spans="1:6">
      <c r="A205" s="1" t="s">
        <v>353</v>
      </c>
      <c r="B205" s="3">
        <f t="shared" si="3"/>
        <v>8.4628496206189827E-2</v>
      </c>
      <c r="C205" s="3">
        <v>2.7785941866780777E-2</v>
      </c>
      <c r="D205" s="3">
        <v>0.31546691365656965</v>
      </c>
      <c r="E205" s="3">
        <v>4.2328496206189829E-2</v>
      </c>
      <c r="F205" s="328">
        <v>6538486.8558456972</v>
      </c>
    </row>
    <row r="206" spans="1:6">
      <c r="A206" s="1" t="s">
        <v>785</v>
      </c>
      <c r="B206" s="3">
        <f t="shared" si="3"/>
        <v>7.5777091018450746E-2</v>
      </c>
      <c r="C206" s="3">
        <v>2.1975562287317348E-2</v>
      </c>
      <c r="D206" s="3">
        <v>0.17637480027426933</v>
      </c>
      <c r="E206" s="3">
        <v>3.3477091018450748E-2</v>
      </c>
      <c r="F206" s="328">
        <v>3491477.1931399349</v>
      </c>
    </row>
    <row r="207" spans="1:6">
      <c r="A207" s="1" t="s">
        <v>357</v>
      </c>
      <c r="B207" s="3">
        <f t="shared" si="3"/>
        <v>6.2366864403681901E-2</v>
      </c>
      <c r="C207" s="3">
        <v>1.3172608945359637E-2</v>
      </c>
      <c r="D207" s="3">
        <v>0.16120225505978519</v>
      </c>
      <c r="E207" s="3">
        <v>2.0066864403681904E-2</v>
      </c>
      <c r="F207" s="328">
        <v>3565018.312473313</v>
      </c>
    </row>
    <row r="208" spans="1:6">
      <c r="A208" s="1" t="s">
        <v>359</v>
      </c>
      <c r="B208" s="3">
        <f t="shared" si="3"/>
        <v>4.4464748784794041E-2</v>
      </c>
      <c r="C208" s="3">
        <v>2.1647487847940407E-3</v>
      </c>
      <c r="D208" s="3">
        <v>0.25082522328519713</v>
      </c>
      <c r="E208" s="3">
        <v>2.1647487847940407E-3</v>
      </c>
      <c r="F208" s="328">
        <v>30994592.957364962</v>
      </c>
    </row>
    <row r="209" spans="1:6">
      <c r="A209" s="1" t="s">
        <v>351</v>
      </c>
      <c r="B209" s="3">
        <f t="shared" si="3"/>
        <v>5.2665467678857734E-2</v>
      </c>
      <c r="C209" s="3">
        <v>6.8042644591899959E-3</v>
      </c>
      <c r="D209" s="3">
        <v>0.25557231156583926</v>
      </c>
      <c r="E209" s="3">
        <v>1.0365467678857737E-2</v>
      </c>
      <c r="F209" s="328">
        <v>23561725.635146514</v>
      </c>
    </row>
    <row r="210" spans="1:6">
      <c r="A210" s="1" t="s">
        <v>487</v>
      </c>
      <c r="B210" s="3">
        <f t="shared" si="3"/>
        <v>5.6257073300462909E-2</v>
      </c>
      <c r="C210" s="3">
        <v>9.3761767521845681E-3</v>
      </c>
      <c r="D210" s="3">
        <v>0.25367576019974325</v>
      </c>
      <c r="E210" s="3">
        <v>1.3957073300462912E-2</v>
      </c>
      <c r="F210" s="328">
        <v>107590288.52720933</v>
      </c>
    </row>
    <row r="211" spans="1:6">
      <c r="D211" s="153"/>
    </row>
    <row r="212" spans="1:6">
      <c r="D212" s="153"/>
    </row>
    <row r="213" spans="1:6">
      <c r="A213" s="257"/>
      <c r="B213" s="257" t="s">
        <v>373</v>
      </c>
      <c r="C213" s="257" t="s">
        <v>786</v>
      </c>
      <c r="D213" s="135" t="s">
        <v>135</v>
      </c>
      <c r="E213" s="257" t="s">
        <v>787</v>
      </c>
    </row>
    <row r="214" spans="1:6">
      <c r="A214" s="1" t="s">
        <v>788</v>
      </c>
      <c r="B214" s="154">
        <f>$B$1+E214</f>
        <v>8.4914849486746075E-2</v>
      </c>
      <c r="C214" s="154">
        <v>2.8036085188648738E-2</v>
      </c>
      <c r="D214" s="3">
        <v>0.20587211383081347</v>
      </c>
      <c r="E214" s="3">
        <f>C214*1.52</f>
        <v>4.2614849486746084E-2</v>
      </c>
      <c r="F214" s="237"/>
    </row>
    <row r="215" spans="1:6">
      <c r="A215" s="1" t="s">
        <v>789</v>
      </c>
      <c r="B215" s="154">
        <f t="shared" ref="B215:B224" si="4">$B$1+E215</f>
        <v>4.2319290389235598E-2</v>
      </c>
      <c r="C215" s="154">
        <v>1.2691045549737567E-5</v>
      </c>
      <c r="D215" s="3">
        <v>0.27842704609921326</v>
      </c>
      <c r="E215" s="3">
        <f t="shared" ref="E215:E224" si="5">C215*1.52</f>
        <v>1.92903892356011E-5</v>
      </c>
    </row>
    <row r="216" spans="1:6">
      <c r="A216" s="1" t="s">
        <v>790</v>
      </c>
      <c r="B216" s="154">
        <f t="shared" si="4"/>
        <v>8.6174941011547337E-2</v>
      </c>
      <c r="C216" s="154">
        <v>2.886509277075483E-2</v>
      </c>
      <c r="D216" s="3">
        <v>0.31293133327548611</v>
      </c>
      <c r="E216" s="3">
        <f t="shared" si="5"/>
        <v>4.387494101154734E-2</v>
      </c>
    </row>
    <row r="217" spans="1:6">
      <c r="A217" s="1" t="s">
        <v>294</v>
      </c>
      <c r="B217" s="154">
        <f t="shared" si="4"/>
        <v>5.1409248196635018E-2</v>
      </c>
      <c r="C217" s="3">
        <v>5.9929264451546206E-3</v>
      </c>
      <c r="D217" s="3">
        <v>0.2974</v>
      </c>
      <c r="E217" s="3">
        <f t="shared" si="5"/>
        <v>9.1092481966350228E-3</v>
      </c>
    </row>
    <row r="218" spans="1:6">
      <c r="A218" s="1" t="s">
        <v>791</v>
      </c>
      <c r="B218" s="154">
        <f t="shared" si="4"/>
        <v>4.5847192338387868E-2</v>
      </c>
      <c r="C218" s="3">
        <v>2.3336791699920191E-3</v>
      </c>
      <c r="D218" s="3">
        <v>0.25</v>
      </c>
      <c r="E218" s="3">
        <f t="shared" si="5"/>
        <v>3.5471923383878692E-3</v>
      </c>
    </row>
    <row r="219" spans="1:6">
      <c r="A219" s="1" t="s">
        <v>792</v>
      </c>
      <c r="B219" s="154">
        <f t="shared" si="4"/>
        <v>5.2642481977968794E-2</v>
      </c>
      <c r="C219" s="3">
        <v>6.8042644591899959E-3</v>
      </c>
      <c r="D219" s="3">
        <v>0.25557231156583926</v>
      </c>
      <c r="E219" s="3">
        <f t="shared" si="5"/>
        <v>1.0342481977968793E-2</v>
      </c>
    </row>
    <row r="220" spans="1:6">
      <c r="A220" s="1" t="s">
        <v>793</v>
      </c>
      <c r="B220" s="154">
        <f t="shared" si="4"/>
        <v>6.6224343199769817E-2</v>
      </c>
      <c r="C220" s="154">
        <v>1.5739699473532778E-2</v>
      </c>
      <c r="D220" s="3">
        <v>0.25110147332024457</v>
      </c>
      <c r="E220" s="3">
        <f t="shared" si="5"/>
        <v>2.3924343199769823E-2</v>
      </c>
    </row>
    <row r="221" spans="1:6">
      <c r="A221" s="1" t="s">
        <v>794</v>
      </c>
      <c r="B221" s="154">
        <f t="shared" si="4"/>
        <v>6.698520980036643E-2</v>
      </c>
      <c r="C221" s="154">
        <v>1.6240269605504232E-2</v>
      </c>
      <c r="D221" s="3">
        <v>0.25726349361837231</v>
      </c>
      <c r="E221" s="3">
        <f t="shared" si="5"/>
        <v>2.4685209800366432E-2</v>
      </c>
    </row>
    <row r="222" spans="1:6">
      <c r="A222" s="1" t="s">
        <v>287</v>
      </c>
      <c r="B222" s="154">
        <f t="shared" si="4"/>
        <v>7.0690490212845819E-2</v>
      </c>
      <c r="C222" s="154">
        <v>1.8677954087398564E-2</v>
      </c>
      <c r="D222" s="3">
        <v>0.3</v>
      </c>
      <c r="E222" s="3">
        <f t="shared" si="5"/>
        <v>2.8390490212845818E-2</v>
      </c>
    </row>
    <row r="223" spans="1:6">
      <c r="A223" s="1" t="s">
        <v>266</v>
      </c>
      <c r="B223" s="154">
        <f t="shared" si="4"/>
        <v>5.1409248196635018E-2</v>
      </c>
      <c r="C223" s="3">
        <v>5.9929264451546206E-3</v>
      </c>
      <c r="D223" s="3">
        <v>0.25</v>
      </c>
      <c r="E223" s="3">
        <f t="shared" si="5"/>
        <v>9.1092481966350228E-3</v>
      </c>
    </row>
    <row r="224" spans="1:6">
      <c r="A224" s="1" t="s">
        <v>487</v>
      </c>
      <c r="B224" s="154">
        <f t="shared" si="4"/>
        <v>5.6551788663320543E-2</v>
      </c>
      <c r="C224" s="3">
        <v>9.3761767521845681E-3</v>
      </c>
      <c r="D224" s="3">
        <v>0.25367576019974325</v>
      </c>
      <c r="E224" s="3">
        <f t="shared" si="5"/>
        <v>1.4251788663320544E-2</v>
      </c>
    </row>
    <row r="225" spans="1:5">
      <c r="B225" s="153"/>
      <c r="C225" s="153"/>
      <c r="D225" s="153"/>
    </row>
    <row r="226" spans="1:5">
      <c r="A226" s="396" t="s">
        <v>795</v>
      </c>
      <c r="B226" s="396"/>
      <c r="C226" s="396"/>
      <c r="D226" s="153"/>
    </row>
    <row r="227" spans="1:5">
      <c r="A227" s="257"/>
      <c r="B227" s="257" t="s">
        <v>373</v>
      </c>
      <c r="C227" s="257" t="s">
        <v>786</v>
      </c>
      <c r="D227" s="135" t="s">
        <v>135</v>
      </c>
      <c r="E227" s="257" t="s">
        <v>787</v>
      </c>
    </row>
    <row r="228" spans="1:5" ht="14">
      <c r="A228" s="1" t="s">
        <v>796</v>
      </c>
      <c r="B228" s="329">
        <f>B1+E228</f>
        <v>5.9111200000000003E-2</v>
      </c>
      <c r="C228" s="154">
        <v>1.106E-2</v>
      </c>
      <c r="D228" s="330">
        <v>0.24859999999999999</v>
      </c>
      <c r="E228" s="3">
        <f>C228*1.52</f>
        <v>1.6811200000000002E-2</v>
      </c>
    </row>
  </sheetData>
  <mergeCells count="1">
    <mergeCell ref="A226:C226"/>
  </mergeCells>
  <pageMargins left="0.75" right="0.75" top="1" bottom="1" header="0.5" footer="0.5"/>
  <pageSetup orientation="portrait" horizontalDpi="4294967292" verticalDpi="4294967292"/>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53"/>
  <sheetViews>
    <sheetView topLeftCell="A11" workbookViewId="0">
      <selection activeCell="G38" sqref="G38:H53"/>
    </sheetView>
  </sheetViews>
  <sheetFormatPr baseColWidth="10" defaultRowHeight="13"/>
  <sheetData>
    <row r="1" spans="1:10" ht="18">
      <c r="A1" s="6" t="s">
        <v>207</v>
      </c>
    </row>
    <row r="2" spans="1:10" ht="18">
      <c r="A2" s="6" t="s">
        <v>208</v>
      </c>
    </row>
    <row r="3" spans="1:10" s="107" customFormat="1" ht="17" thickBot="1">
      <c r="A3" s="106" t="s">
        <v>209</v>
      </c>
    </row>
    <row r="4" spans="1:10" s="108" customFormat="1" ht="15" thickBot="1">
      <c r="A4" s="8" t="s">
        <v>210</v>
      </c>
      <c r="B4" s="8"/>
      <c r="C4" s="205">
        <f>'Cost of capital worksheet'!B24</f>
        <v>1</v>
      </c>
      <c r="D4" s="8"/>
      <c r="E4" s="8"/>
      <c r="F4" s="8"/>
      <c r="G4" s="8"/>
      <c r="H4" s="8"/>
      <c r="I4" s="8"/>
      <c r="J4" s="8"/>
    </row>
    <row r="5" spans="1:10" s="108" customFormat="1" ht="15" thickBot="1">
      <c r="A5" s="8" t="s">
        <v>211</v>
      </c>
      <c r="B5" s="8"/>
      <c r="C5" s="8"/>
      <c r="D5" s="8"/>
      <c r="E5" s="8"/>
      <c r="F5" s="98">
        <f>IF('Input sheet'!B16="Yes",'Input sheet'!B11+'Operating lease converter'!F32,'Input sheet'!B11)</f>
        <v>-2589</v>
      </c>
      <c r="G5" s="8" t="s">
        <v>212</v>
      </c>
      <c r="H5" s="8"/>
      <c r="I5" s="8"/>
      <c r="J5" s="8"/>
    </row>
    <row r="6" spans="1:10" s="108" customFormat="1" ht="15" thickBot="1">
      <c r="A6" s="8" t="s">
        <v>213</v>
      </c>
      <c r="B6" s="8"/>
      <c r="C6" s="8"/>
      <c r="D6" s="8"/>
      <c r="E6" s="8"/>
      <c r="F6" s="177">
        <f>IF('Input sheet'!B16="Yes",'Cost of capital worksheet'!B19+'Operating lease converter'!C28*'Operating lease converter'!C15,'Cost of capital worksheet'!B19)</f>
        <v>1945</v>
      </c>
      <c r="G6" s="8" t="s">
        <v>214</v>
      </c>
      <c r="H6" s="8"/>
      <c r="I6" s="8"/>
      <c r="J6" s="8"/>
    </row>
    <row r="7" spans="1:10" s="108" customFormat="1" ht="15" thickBot="1">
      <c r="A7" s="8" t="s">
        <v>229</v>
      </c>
      <c r="B7" s="8"/>
      <c r="C7" s="8"/>
      <c r="D7" s="8"/>
      <c r="E7" s="8"/>
      <c r="F7" s="116">
        <f>'Input sheet'!B41</f>
        <v>4.5600000000000002E-2</v>
      </c>
      <c r="G7" s="8"/>
      <c r="H7" s="8"/>
      <c r="I7" s="8"/>
      <c r="J7" s="8"/>
    </row>
    <row r="8" spans="1:10" s="108" customFormat="1" ht="15" thickBot="1">
      <c r="A8" s="17" t="s">
        <v>117</v>
      </c>
      <c r="B8" s="8"/>
      <c r="C8" s="8"/>
      <c r="D8" s="8"/>
      <c r="E8" s="8"/>
      <c r="F8" s="8"/>
      <c r="G8" s="8"/>
      <c r="H8" s="8"/>
      <c r="I8" s="8"/>
      <c r="J8" s="8"/>
    </row>
    <row r="9" spans="1:10" s="108" customFormat="1" ht="15" thickBot="1">
      <c r="A9" s="8" t="s">
        <v>215</v>
      </c>
      <c r="B9" s="8"/>
      <c r="C9" s="8"/>
      <c r="D9" s="117">
        <f>IF(F6=0,1000000,IF(F5&lt;0,-100000,F5/F6))</f>
        <v>-100000</v>
      </c>
      <c r="E9" s="8"/>
      <c r="F9" s="8"/>
      <c r="G9" s="8"/>
      <c r="H9" s="8"/>
      <c r="I9" s="8"/>
      <c r="J9" s="8"/>
    </row>
    <row r="10" spans="1:10" s="108" customFormat="1" ht="15" thickBot="1">
      <c r="A10" s="8" t="s">
        <v>216</v>
      </c>
      <c r="D10" s="118" t="str">
        <f>IF(C4=1,VLOOKUP(D9,A19:D33,3),(IF(C4=2,VLOOKUP(D9,A38:D52,3),VLOOKUP(D9,F19:I33,3))))</f>
        <v>D2/D</v>
      </c>
      <c r="F10" s="16" t="s">
        <v>217</v>
      </c>
    </row>
    <row r="11" spans="1:10" s="108" customFormat="1" ht="15" thickBot="1">
      <c r="A11" s="8" t="s">
        <v>465</v>
      </c>
      <c r="D11" s="119">
        <f>IF(C4=1,VLOOKUP(D9,A19:D33,4),(IF(C4=2,VLOOKUP(D9,A38:D52,4),VLOOKUP(D9,F19:I33,4))))</f>
        <v>0.19</v>
      </c>
      <c r="F11" s="16" t="s">
        <v>218</v>
      </c>
    </row>
    <row r="12" spans="1:10" s="108" customFormat="1" ht="15" thickBot="1">
      <c r="A12" s="8" t="s">
        <v>466</v>
      </c>
      <c r="D12" s="119">
        <f>VLOOKUP('Input sheet'!B5,'Country equity risk premiums'!A5:C179,3)</f>
        <v>1.3599999999999999E-2</v>
      </c>
      <c r="F12" s="16"/>
    </row>
    <row r="13" spans="1:10" s="8" customFormat="1" ht="14" thickBot="1">
      <c r="A13" s="8" t="s">
        <v>219</v>
      </c>
      <c r="D13" s="120">
        <f>F7+D11+D12</f>
        <v>0.2492</v>
      </c>
    </row>
    <row r="14" spans="1:10" s="8" customFormat="1">
      <c r="D14" s="110"/>
    </row>
    <row r="15" spans="1:10" s="15" customFormat="1">
      <c r="A15" s="15" t="s">
        <v>220</v>
      </c>
      <c r="D15" s="111"/>
    </row>
    <row r="16" spans="1:10" s="108" customFormat="1" ht="14">
      <c r="A16" s="17" t="s">
        <v>221</v>
      </c>
      <c r="F16"/>
      <c r="G16"/>
      <c r="H16"/>
      <c r="I16"/>
    </row>
    <row r="17" spans="1:10" s="108" customFormat="1" ht="14">
      <c r="A17" s="112" t="s">
        <v>222</v>
      </c>
      <c r="B17" s="112"/>
      <c r="C17" s="113"/>
      <c r="D17" s="113"/>
      <c r="F17"/>
      <c r="G17"/>
      <c r="H17"/>
      <c r="I17"/>
      <c r="J17" s="8"/>
    </row>
    <row r="18" spans="1:10" s="108" customFormat="1" ht="14">
      <c r="A18" s="96" t="s">
        <v>223</v>
      </c>
      <c r="B18" s="96" t="s">
        <v>224</v>
      </c>
      <c r="C18" s="96" t="s">
        <v>225</v>
      </c>
      <c r="D18" s="96" t="s">
        <v>226</v>
      </c>
      <c r="F18"/>
      <c r="G18"/>
      <c r="H18"/>
      <c r="I18"/>
    </row>
    <row r="19" spans="1:10" s="108" customFormat="1" ht="14">
      <c r="A19" s="30">
        <v>-100000</v>
      </c>
      <c r="B19" s="30">
        <v>0.19999900000000001</v>
      </c>
      <c r="C19" s="203" t="s">
        <v>449</v>
      </c>
      <c r="D19" s="236">
        <v>0.19</v>
      </c>
      <c r="F19"/>
      <c r="G19"/>
      <c r="H19"/>
      <c r="I19"/>
    </row>
    <row r="20" spans="1:10" s="108" customFormat="1" ht="14">
      <c r="A20" s="30">
        <v>0.2</v>
      </c>
      <c r="B20" s="30">
        <v>0.64999899999999999</v>
      </c>
      <c r="C20" s="203" t="s">
        <v>450</v>
      </c>
      <c r="D20" s="236">
        <v>0.16</v>
      </c>
      <c r="F20"/>
      <c r="G20"/>
      <c r="H20"/>
      <c r="I20"/>
    </row>
    <row r="21" spans="1:10" s="108" customFormat="1" ht="14">
      <c r="A21" s="30">
        <v>0.65</v>
      </c>
      <c r="B21" s="30">
        <v>0.79999900000000002</v>
      </c>
      <c r="C21" s="203" t="s">
        <v>451</v>
      </c>
      <c r="D21" s="236">
        <v>0.12610099999999999</v>
      </c>
      <c r="F21"/>
      <c r="G21"/>
      <c r="H21"/>
      <c r="I21"/>
    </row>
    <row r="22" spans="1:10" s="108" customFormat="1" ht="14">
      <c r="A22" s="30">
        <v>0.8</v>
      </c>
      <c r="B22" s="30">
        <v>1.2499990000000001</v>
      </c>
      <c r="C22" s="203" t="s">
        <v>452</v>
      </c>
      <c r="D22" s="236">
        <v>8.8499999999999995E-2</v>
      </c>
      <c r="F22"/>
      <c r="G22"/>
      <c r="H22"/>
      <c r="I22"/>
    </row>
    <row r="23" spans="1:10" s="108" customFormat="1" ht="14">
      <c r="A23" s="30">
        <v>1.25</v>
      </c>
      <c r="B23" s="30">
        <v>1.4999990000000001</v>
      </c>
      <c r="C23" s="203" t="s">
        <v>453</v>
      </c>
      <c r="D23" s="236">
        <v>5.0899E-2</v>
      </c>
      <c r="F23"/>
      <c r="G23"/>
      <c r="H23"/>
      <c r="I23"/>
    </row>
    <row r="24" spans="1:10" s="108" customFormat="1" ht="14">
      <c r="A24" s="30">
        <v>1.5</v>
      </c>
      <c r="B24" s="30">
        <v>1.7499990000000001</v>
      </c>
      <c r="C24" s="203" t="s">
        <v>454</v>
      </c>
      <c r="D24" s="236">
        <v>3.2098000000000002E-2</v>
      </c>
      <c r="F24"/>
      <c r="G24"/>
      <c r="H24"/>
      <c r="I24"/>
    </row>
    <row r="25" spans="1:10" s="108" customFormat="1" ht="14">
      <c r="A25" s="30">
        <v>1.75</v>
      </c>
      <c r="B25" s="30">
        <v>1.9999990000000001</v>
      </c>
      <c r="C25" s="203" t="s">
        <v>455</v>
      </c>
      <c r="D25" s="236">
        <v>2.7531E-2</v>
      </c>
      <c r="F25"/>
      <c r="G25"/>
      <c r="H25"/>
      <c r="I25"/>
    </row>
    <row r="26" spans="1:10" s="108" customFormat="1" ht="14">
      <c r="A26" s="30">
        <v>2</v>
      </c>
      <c r="B26" s="30">
        <v>2.2499999000000002</v>
      </c>
      <c r="C26" s="203" t="s">
        <v>456</v>
      </c>
      <c r="D26" s="236">
        <v>1.8394999999999998E-2</v>
      </c>
      <c r="F26"/>
      <c r="G26"/>
      <c r="H26"/>
      <c r="I26"/>
    </row>
    <row r="27" spans="1:10" s="108" customFormat="1" ht="14">
      <c r="A27" s="30">
        <v>2.25</v>
      </c>
      <c r="B27" s="30">
        <v>2.4999899999999999</v>
      </c>
      <c r="C27" s="203" t="s">
        <v>457</v>
      </c>
      <c r="D27" s="236">
        <v>1.3828E-2</v>
      </c>
      <c r="F27"/>
      <c r="G27"/>
      <c r="H27"/>
      <c r="I27"/>
    </row>
    <row r="28" spans="1:10" s="108" customFormat="1" ht="14">
      <c r="A28" s="30">
        <v>2.5</v>
      </c>
      <c r="B28" s="30">
        <v>2.9999989999999999</v>
      </c>
      <c r="C28" s="203" t="s">
        <v>458</v>
      </c>
      <c r="D28" s="236">
        <v>1.1113E-2</v>
      </c>
      <c r="F28"/>
      <c r="G28"/>
      <c r="H28"/>
      <c r="I28"/>
    </row>
    <row r="29" spans="1:10" s="108" customFormat="1" ht="14">
      <c r="A29" s="30">
        <v>3</v>
      </c>
      <c r="B29" s="30">
        <v>4.2499989999999999</v>
      </c>
      <c r="C29" s="203" t="s">
        <v>459</v>
      </c>
      <c r="D29" s="236">
        <v>8.8719999999999997E-3</v>
      </c>
      <c r="F29"/>
      <c r="G29"/>
      <c r="H29"/>
      <c r="I29"/>
    </row>
    <row r="30" spans="1:10" s="108" customFormat="1" ht="14">
      <c r="A30" s="30">
        <v>4.25</v>
      </c>
      <c r="B30" s="30">
        <v>5.4999989999999999</v>
      </c>
      <c r="C30" s="203" t="s">
        <v>460</v>
      </c>
      <c r="D30" s="236">
        <v>7.7510000000000009E-3</v>
      </c>
      <c r="F30"/>
      <c r="G30"/>
      <c r="H30"/>
      <c r="I30"/>
    </row>
    <row r="31" spans="1:10" s="108" customFormat="1" ht="14">
      <c r="A31" s="30">
        <v>5.5</v>
      </c>
      <c r="B31" s="30">
        <v>6.4999989999999999</v>
      </c>
      <c r="C31" s="203" t="s">
        <v>461</v>
      </c>
      <c r="D31" s="236">
        <v>7.0030000000000005E-3</v>
      </c>
      <c r="F31"/>
      <c r="G31"/>
      <c r="H31"/>
      <c r="I31"/>
    </row>
    <row r="32" spans="1:10" s="108" customFormat="1" ht="14">
      <c r="A32" s="30">
        <v>6.5</v>
      </c>
      <c r="B32" s="30">
        <v>8.4999990000000007</v>
      </c>
      <c r="C32" s="203" t="s">
        <v>462</v>
      </c>
      <c r="D32" s="236">
        <v>5.5060000000000005E-3</v>
      </c>
      <c r="F32"/>
      <c r="G32"/>
      <c r="H32"/>
      <c r="I32"/>
    </row>
    <row r="33" spans="1:9" s="108" customFormat="1" ht="14">
      <c r="A33" s="114">
        <v>8.5</v>
      </c>
      <c r="B33" s="30">
        <v>100000</v>
      </c>
      <c r="C33" s="203" t="s">
        <v>463</v>
      </c>
      <c r="D33" s="236">
        <v>4.0000000000000001E-3</v>
      </c>
      <c r="F33"/>
      <c r="G33"/>
      <c r="H33"/>
      <c r="I33"/>
    </row>
    <row r="34" spans="1:9" s="108" customFormat="1" ht="14"/>
    <row r="35" spans="1:9" s="108" customFormat="1" ht="14">
      <c r="A35" s="17" t="s">
        <v>228</v>
      </c>
    </row>
    <row r="36" spans="1:9" s="108" customFormat="1" ht="14">
      <c r="A36" s="112" t="s">
        <v>222</v>
      </c>
      <c r="B36" s="115"/>
      <c r="C36" s="30"/>
      <c r="D36" s="30"/>
    </row>
    <row r="37" spans="1:9" s="108" customFormat="1" ht="14">
      <c r="A37" s="30" t="s">
        <v>227</v>
      </c>
      <c r="B37" s="30" t="s">
        <v>224</v>
      </c>
      <c r="C37" s="30" t="s">
        <v>225</v>
      </c>
      <c r="D37" s="30" t="s">
        <v>226</v>
      </c>
    </row>
    <row r="38" spans="1:9" s="108" customFormat="1" ht="16">
      <c r="A38" s="30">
        <v>-100000</v>
      </c>
      <c r="B38" s="30">
        <v>0.49999900000000003</v>
      </c>
      <c r="C38" s="203" t="s">
        <v>449</v>
      </c>
      <c r="D38" s="236">
        <v>0.19</v>
      </c>
      <c r="G38" s="331" t="s">
        <v>225</v>
      </c>
      <c r="H38" s="331" t="s">
        <v>226</v>
      </c>
    </row>
    <row r="39" spans="1:9" s="108" customFormat="1" ht="16">
      <c r="A39" s="30">
        <v>0.5</v>
      </c>
      <c r="B39" s="30">
        <v>0.79999900000000002</v>
      </c>
      <c r="C39" s="203" t="s">
        <v>450</v>
      </c>
      <c r="D39" s="236">
        <v>0.16</v>
      </c>
      <c r="G39" s="332" t="s">
        <v>461</v>
      </c>
      <c r="H39" s="236">
        <v>7.0030000000000005E-3</v>
      </c>
    </row>
    <row r="40" spans="1:9" s="108" customFormat="1" ht="16">
      <c r="A40" s="30">
        <v>0.8</v>
      </c>
      <c r="B40" s="30">
        <v>1.2499990000000001</v>
      </c>
      <c r="C40" s="203" t="s">
        <v>451</v>
      </c>
      <c r="D40" s="236">
        <v>0.12610099999999999</v>
      </c>
      <c r="G40" s="332" t="s">
        <v>460</v>
      </c>
      <c r="H40" s="236">
        <v>7.7510000000000009E-3</v>
      </c>
    </row>
    <row r="41" spans="1:9" s="108" customFormat="1" ht="16">
      <c r="A41" s="30">
        <v>1.25</v>
      </c>
      <c r="B41" s="30">
        <v>1.4999990000000001</v>
      </c>
      <c r="C41" s="203" t="s">
        <v>452</v>
      </c>
      <c r="D41" s="236">
        <v>8.8499999999999995E-2</v>
      </c>
      <c r="G41" s="332" t="s">
        <v>459</v>
      </c>
      <c r="H41" s="236">
        <v>8.8719999999999997E-3</v>
      </c>
    </row>
    <row r="42" spans="1:9" s="108" customFormat="1" ht="16">
      <c r="A42" s="30">
        <v>1.5</v>
      </c>
      <c r="B42" s="30">
        <v>1.9999990000000001</v>
      </c>
      <c r="C42" s="203" t="s">
        <v>453</v>
      </c>
      <c r="D42" s="236">
        <v>5.0899E-2</v>
      </c>
      <c r="G42" s="332" t="s">
        <v>462</v>
      </c>
      <c r="H42" s="236">
        <v>5.5060000000000005E-3</v>
      </c>
    </row>
    <row r="43" spans="1:9" s="108" customFormat="1" ht="16">
      <c r="A43" s="30">
        <v>2</v>
      </c>
      <c r="B43" s="30">
        <v>2.4999989999999999</v>
      </c>
      <c r="C43" s="203" t="s">
        <v>454</v>
      </c>
      <c r="D43" s="236">
        <v>3.2098000000000002E-2</v>
      </c>
      <c r="G43" s="332" t="s">
        <v>463</v>
      </c>
      <c r="H43" s="236">
        <v>4.0000000000000001E-3</v>
      </c>
    </row>
    <row r="44" spans="1:9" s="108" customFormat="1" ht="16">
      <c r="A44" s="30">
        <v>2.5</v>
      </c>
      <c r="B44" s="30">
        <v>2.9999989999999999</v>
      </c>
      <c r="C44" s="203" t="s">
        <v>455</v>
      </c>
      <c r="D44" s="236">
        <v>2.7531E-2</v>
      </c>
      <c r="G44" s="332" t="s">
        <v>455</v>
      </c>
      <c r="H44" s="236">
        <v>2.7531E-2</v>
      </c>
    </row>
    <row r="45" spans="1:9" s="108" customFormat="1" ht="16">
      <c r="A45" s="30">
        <v>3</v>
      </c>
      <c r="B45" s="30">
        <v>3.4999989999999999</v>
      </c>
      <c r="C45" s="203" t="s">
        <v>456</v>
      </c>
      <c r="D45" s="236">
        <v>1.8394999999999998E-2</v>
      </c>
      <c r="G45" s="332" t="s">
        <v>454</v>
      </c>
      <c r="H45" s="236">
        <v>3.2098000000000002E-2</v>
      </c>
    </row>
    <row r="46" spans="1:9" s="108" customFormat="1" ht="16">
      <c r="A46" s="30">
        <v>3.5</v>
      </c>
      <c r="B46" s="30">
        <v>3.9999999000000002</v>
      </c>
      <c r="C46" s="203" t="s">
        <v>457</v>
      </c>
      <c r="D46" s="236">
        <v>1.3828E-2</v>
      </c>
      <c r="G46" s="332" t="s">
        <v>453</v>
      </c>
      <c r="H46" s="236">
        <v>5.0899E-2</v>
      </c>
    </row>
    <row r="47" spans="1:9" s="108" customFormat="1" ht="16">
      <c r="A47" s="30">
        <v>4</v>
      </c>
      <c r="B47" s="30">
        <v>4.4999989999999999</v>
      </c>
      <c r="C47" s="203" t="s">
        <v>458</v>
      </c>
      <c r="D47" s="236">
        <v>1.1113E-2</v>
      </c>
      <c r="G47" s="332" t="s">
        <v>457</v>
      </c>
      <c r="H47" s="236">
        <v>1.3828E-2</v>
      </c>
    </row>
    <row r="48" spans="1:9" s="108" customFormat="1" ht="16">
      <c r="A48" s="30">
        <v>4.5</v>
      </c>
      <c r="B48" s="30">
        <v>5.9999989999999999</v>
      </c>
      <c r="C48" s="203" t="s">
        <v>459</v>
      </c>
      <c r="D48" s="236">
        <v>8.8719999999999997E-3</v>
      </c>
      <c r="G48" s="332" t="s">
        <v>456</v>
      </c>
      <c r="H48" s="236">
        <v>1.8394999999999998E-2</v>
      </c>
    </row>
    <row r="49" spans="1:10" s="108" customFormat="1" ht="16">
      <c r="A49" s="30">
        <v>6</v>
      </c>
      <c r="B49" s="30">
        <v>7.4999989999999999</v>
      </c>
      <c r="C49" s="203" t="s">
        <v>460</v>
      </c>
      <c r="D49" s="236">
        <v>7.7510000000000009E-3</v>
      </c>
      <c r="G49" s="332" t="s">
        <v>458</v>
      </c>
      <c r="H49" s="236">
        <v>1.1113E-2</v>
      </c>
    </row>
    <row r="50" spans="1:10" s="108" customFormat="1" ht="16">
      <c r="A50" s="30">
        <v>7.5</v>
      </c>
      <c r="B50" s="30">
        <v>9.4999990000000007</v>
      </c>
      <c r="C50" s="203" t="s">
        <v>461</v>
      </c>
      <c r="D50" s="236">
        <v>7.0030000000000005E-3</v>
      </c>
      <c r="G50" s="332" t="s">
        <v>452</v>
      </c>
      <c r="H50" s="236">
        <v>0.16</v>
      </c>
    </row>
    <row r="51" spans="1:10" ht="16">
      <c r="A51" s="30">
        <v>9.5</v>
      </c>
      <c r="B51" s="30">
        <v>12.499999000000001</v>
      </c>
      <c r="C51" s="203" t="s">
        <v>462</v>
      </c>
      <c r="D51" s="236">
        <v>5.5060000000000005E-3</v>
      </c>
      <c r="F51" s="108"/>
      <c r="G51" s="332" t="s">
        <v>451</v>
      </c>
      <c r="H51" s="236">
        <v>0.12610099999999999</v>
      </c>
      <c r="I51" s="108"/>
      <c r="J51" s="108"/>
    </row>
    <row r="52" spans="1:10" ht="16">
      <c r="A52" s="30">
        <v>12.5</v>
      </c>
      <c r="B52" s="30">
        <v>100000</v>
      </c>
      <c r="C52" s="203" t="s">
        <v>463</v>
      </c>
      <c r="D52" s="236">
        <v>4.0000000000000001E-3</v>
      </c>
      <c r="G52" s="332" t="s">
        <v>450</v>
      </c>
      <c r="H52" s="236">
        <v>8.8499999999999995E-2</v>
      </c>
    </row>
    <row r="53" spans="1:10" ht="16">
      <c r="G53" s="332" t="s">
        <v>449</v>
      </c>
      <c r="H53" s="236">
        <v>0.19</v>
      </c>
    </row>
  </sheetData>
  <sortState xmlns:xlrd2="http://schemas.microsoft.com/office/spreadsheetml/2017/richdata2" ref="G39:H53">
    <sortCondition ref="G39:G53"/>
  </sortState>
  <pageMargins left="0.75" right="0.75" top="1" bottom="1" header="0.5" footer="0.5"/>
  <pageSetup orientation="portrait" horizontalDpi="4294967292" verticalDpi="4294967292"/>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A97"/>
  <sheetViews>
    <sheetView workbookViewId="0">
      <pane xSplit="1" ySplit="1" topLeftCell="B46" activePane="bottomRight" state="frozen"/>
      <selection pane="topRight" activeCell="B1" sqref="B1"/>
      <selection pane="bottomLeft" activeCell="A2" sqref="A2"/>
      <selection pane="bottomRight" activeCell="A96" sqref="A96:XFD96"/>
    </sheetView>
  </sheetViews>
  <sheetFormatPr baseColWidth="10" defaultColWidth="11.5" defaultRowHeight="13"/>
  <cols>
    <col min="1" max="1" width="23.1640625" customWidth="1"/>
    <col min="2" max="23" width="10.6640625" style="153" customWidth="1"/>
    <col min="24" max="27" width="11.5" style="153"/>
  </cols>
  <sheetData>
    <row r="1" spans="1:27" s="241" customFormat="1" ht="70">
      <c r="A1" s="244" t="s">
        <v>91</v>
      </c>
      <c r="B1" s="210" t="s">
        <v>168</v>
      </c>
      <c r="C1" s="245" t="s">
        <v>156</v>
      </c>
      <c r="D1" s="245" t="s">
        <v>610</v>
      </c>
      <c r="E1" s="245" t="s">
        <v>175</v>
      </c>
      <c r="F1" s="210" t="s">
        <v>157</v>
      </c>
      <c r="G1" s="210" t="s">
        <v>205</v>
      </c>
      <c r="H1" s="210" t="s">
        <v>158</v>
      </c>
      <c r="I1" s="210" t="s">
        <v>159</v>
      </c>
      <c r="J1" s="210" t="s">
        <v>160</v>
      </c>
      <c r="K1" s="210" t="s">
        <v>161</v>
      </c>
      <c r="L1" s="210" t="s">
        <v>162</v>
      </c>
      <c r="M1" s="210" t="s">
        <v>141</v>
      </c>
      <c r="N1" s="246" t="s">
        <v>94</v>
      </c>
      <c r="O1" s="210" t="s">
        <v>163</v>
      </c>
      <c r="P1" s="210" t="s">
        <v>164</v>
      </c>
      <c r="Q1" s="210" t="s">
        <v>165</v>
      </c>
      <c r="R1" s="210" t="s">
        <v>166</v>
      </c>
      <c r="S1" s="210" t="s">
        <v>167</v>
      </c>
      <c r="T1" s="210" t="s">
        <v>489</v>
      </c>
      <c r="U1" s="210" t="s">
        <v>490</v>
      </c>
      <c r="V1" s="210" t="s">
        <v>491</v>
      </c>
      <c r="W1" s="210" t="s">
        <v>492</v>
      </c>
      <c r="X1" s="210" t="s">
        <v>476</v>
      </c>
      <c r="Y1" s="210" t="s">
        <v>493</v>
      </c>
      <c r="Z1" s="210" t="s">
        <v>494</v>
      </c>
      <c r="AA1" s="210" t="s">
        <v>617</v>
      </c>
    </row>
    <row r="2" spans="1:27" ht="14">
      <c r="A2" s="247" t="s">
        <v>92</v>
      </c>
      <c r="B2" s="333">
        <v>52</v>
      </c>
      <c r="C2" s="334">
        <v>0.17674521739130433</v>
      </c>
      <c r="D2" s="334">
        <v>0.10065798723499017</v>
      </c>
      <c r="E2" s="334">
        <v>0.27722690747495482</v>
      </c>
      <c r="F2" s="334">
        <v>0.28075820102119331</v>
      </c>
      <c r="G2" s="335">
        <v>1.0080098903421257</v>
      </c>
      <c r="H2" s="335">
        <v>1.210506967409714</v>
      </c>
      <c r="I2" s="334">
        <v>9.3488610746473244E-2</v>
      </c>
      <c r="J2" s="334">
        <v>0.62914804050487017</v>
      </c>
      <c r="K2" s="334">
        <v>5.2913000000000002E-2</v>
      </c>
      <c r="L2" s="334">
        <v>0.28673357582060643</v>
      </c>
      <c r="M2" s="334">
        <v>7.8061237361683022E-2</v>
      </c>
      <c r="N2" s="335">
        <v>3.8532841090748775</v>
      </c>
      <c r="O2" s="335">
        <v>2.1248944823347125</v>
      </c>
      <c r="P2" s="335">
        <v>11.998645075035455</v>
      </c>
      <c r="Q2" s="335">
        <v>20.908715533874364</v>
      </c>
      <c r="R2" s="335">
        <v>4.5512149974568974</v>
      </c>
      <c r="S2" s="335">
        <v>44.433352884106661</v>
      </c>
      <c r="T2" s="334">
        <v>3.8339247397853944E-2</v>
      </c>
      <c r="U2" s="334">
        <v>1.9128564224040443E-2</v>
      </c>
      <c r="V2" s="334">
        <v>-1.5213125107799716E-2</v>
      </c>
      <c r="W2" s="334">
        <v>-0.20502082103706407</v>
      </c>
      <c r="X2" s="334">
        <v>-1.3422566300720232E-2</v>
      </c>
      <c r="Y2" s="334">
        <v>2.7465942927341557E-3</v>
      </c>
      <c r="Z2" s="334">
        <v>2.7465942927341613E-3</v>
      </c>
      <c r="AA2" s="336">
        <v>0.1019039142882163</v>
      </c>
    </row>
    <row r="3" spans="1:27" ht="14">
      <c r="A3" s="247" t="s">
        <v>637</v>
      </c>
      <c r="B3" s="333">
        <v>79</v>
      </c>
      <c r="C3" s="334">
        <v>0.11099880952380951</v>
      </c>
      <c r="D3" s="334">
        <v>8.6545889955926644E-2</v>
      </c>
      <c r="E3" s="334">
        <v>0.16012360749257398</v>
      </c>
      <c r="F3" s="334">
        <v>0.17112253733048063</v>
      </c>
      <c r="G3" s="335">
        <v>0.86937728239149248</v>
      </c>
      <c r="H3" s="335">
        <v>0.945491480030761</v>
      </c>
      <c r="I3" s="334">
        <v>8.166892000937194E-2</v>
      </c>
      <c r="J3" s="334">
        <v>0.46452299950863785</v>
      </c>
      <c r="K3" s="334">
        <v>5.2913000000000002E-2</v>
      </c>
      <c r="L3" s="334">
        <v>0.13466811966755601</v>
      </c>
      <c r="M3" s="334">
        <v>7.601499077840683E-2</v>
      </c>
      <c r="N3" s="335">
        <v>2.7434104399754147</v>
      </c>
      <c r="O3" s="335">
        <v>3.5707065819089849</v>
      </c>
      <c r="P3" s="335">
        <v>21.583912765181378</v>
      </c>
      <c r="Q3" s="335">
        <v>34.787926206201362</v>
      </c>
      <c r="R3" s="335">
        <v>7.880460504324958</v>
      </c>
      <c r="S3" s="335">
        <v>92.800315347927679</v>
      </c>
      <c r="T3" s="334">
        <v>0.41210226490639607</v>
      </c>
      <c r="U3" s="334">
        <v>2.9962295072176206E-2</v>
      </c>
      <c r="V3" s="334">
        <v>8.1800791076195971E-3</v>
      </c>
      <c r="W3" s="334">
        <v>0.67917261699491427</v>
      </c>
      <c r="X3" s="334">
        <v>0.15268987249879978</v>
      </c>
      <c r="Y3" s="334">
        <v>0.50152340872651735</v>
      </c>
      <c r="Z3" s="334">
        <v>0.50152340872651735</v>
      </c>
      <c r="AA3" s="336">
        <v>8.7653715914411567E-2</v>
      </c>
    </row>
    <row r="4" spans="1:27" ht="14">
      <c r="A4" s="247" t="s">
        <v>638</v>
      </c>
      <c r="B4" s="333">
        <v>23</v>
      </c>
      <c r="C4" s="334">
        <v>0.4778615384615385</v>
      </c>
      <c r="D4" s="334">
        <v>5.321179963425901E-2</v>
      </c>
      <c r="E4" s="334">
        <v>7.929312533704834E-2</v>
      </c>
      <c r="F4" s="334">
        <v>0.22628440256519328</v>
      </c>
      <c r="G4" s="335">
        <v>0.75790381791186878</v>
      </c>
      <c r="H4" s="335">
        <v>1.1854651004067109</v>
      </c>
      <c r="I4" s="334">
        <v>9.2371743478139312E-2</v>
      </c>
      <c r="J4" s="334">
        <v>0.59004326285352304</v>
      </c>
      <c r="K4" s="334">
        <v>5.2913000000000002E-2</v>
      </c>
      <c r="L4" s="334">
        <v>0.4769069257453501</v>
      </c>
      <c r="M4" s="334">
        <v>6.7244951391714589E-2</v>
      </c>
      <c r="N4" s="335">
        <v>1.7998836515635137</v>
      </c>
      <c r="O4" s="335">
        <v>1.0259549224502678</v>
      </c>
      <c r="P4" s="335">
        <v>7.5752576842580597</v>
      </c>
      <c r="Q4" s="335">
        <v>19.31868974315794</v>
      </c>
      <c r="R4" s="335">
        <v>2.8414228484458723</v>
      </c>
      <c r="S4" s="335">
        <v>18.321546666616339</v>
      </c>
      <c r="T4" s="334">
        <v>4.5173792240455713E-3</v>
      </c>
      <c r="U4" s="334">
        <v>8.2971993040281439E-2</v>
      </c>
      <c r="V4" s="334">
        <v>3.6065730566461153E-2</v>
      </c>
      <c r="W4" s="334">
        <v>0.83754413249883808</v>
      </c>
      <c r="X4" s="334">
        <v>0.14194840786095569</v>
      </c>
      <c r="Y4" s="334">
        <v>0.13207154048602646</v>
      </c>
      <c r="Z4" s="334">
        <v>0.13207154048602643</v>
      </c>
      <c r="AA4" s="336">
        <v>4.8990642329471888E-2</v>
      </c>
    </row>
    <row r="5" spans="1:27" ht="14">
      <c r="A5" s="247" t="s">
        <v>639</v>
      </c>
      <c r="B5" s="333">
        <v>35</v>
      </c>
      <c r="C5" s="334">
        <v>8.1020434782608688E-2</v>
      </c>
      <c r="D5" s="334">
        <v>9.1100596600812572E-2</v>
      </c>
      <c r="E5" s="334">
        <v>0.15768515602445898</v>
      </c>
      <c r="F5" s="334">
        <v>0.22113578948012313</v>
      </c>
      <c r="G5" s="335">
        <v>0.79456349870036302</v>
      </c>
      <c r="H5" s="335">
        <v>0.93587446429798749</v>
      </c>
      <c r="I5" s="334">
        <v>8.1240001107690252E-2</v>
      </c>
      <c r="J5" s="334">
        <v>0.46263736732369448</v>
      </c>
      <c r="K5" s="334">
        <v>5.2913000000000002E-2</v>
      </c>
      <c r="L5" s="334">
        <v>0.23834056137480741</v>
      </c>
      <c r="M5" s="334">
        <v>7.1335699230612268E-2</v>
      </c>
      <c r="N5" s="335">
        <v>1.7686670295178619</v>
      </c>
      <c r="O5" s="335">
        <v>1.5942098214130109</v>
      </c>
      <c r="P5" s="335">
        <v>10.304886321816396</v>
      </c>
      <c r="Q5" s="335">
        <v>16.086521568825084</v>
      </c>
      <c r="R5" s="335">
        <v>3.8939527849611268</v>
      </c>
      <c r="S5" s="335">
        <v>37.827986389111359</v>
      </c>
      <c r="T5" s="334">
        <v>0.24379365432315239</v>
      </c>
      <c r="U5" s="334">
        <v>2.4179706108016178E-2</v>
      </c>
      <c r="V5" s="334">
        <v>2.0765439612781312E-2</v>
      </c>
      <c r="W5" s="334">
        <v>0.31473571317726051</v>
      </c>
      <c r="X5" s="334">
        <v>0.10420771437290409</v>
      </c>
      <c r="Y5" s="334">
        <v>0.50093167816757211</v>
      </c>
      <c r="Z5" s="334">
        <v>0.50093167816757211</v>
      </c>
      <c r="AA5" s="336">
        <v>9.8736467259427196E-2</v>
      </c>
    </row>
    <row r="6" spans="1:27" ht="14">
      <c r="A6" s="247" t="s">
        <v>501</v>
      </c>
      <c r="B6" s="333">
        <v>33</v>
      </c>
      <c r="C6" s="334">
        <v>8.6399999999999991E-2</v>
      </c>
      <c r="D6" s="334">
        <v>2.3182133033712707E-2</v>
      </c>
      <c r="E6" s="334">
        <v>2.2474128513756082E-2</v>
      </c>
      <c r="F6" s="334">
        <v>0.21930680504244338</v>
      </c>
      <c r="G6" s="335">
        <v>1.3081652064358895</v>
      </c>
      <c r="H6" s="335">
        <v>1.4564933048347815</v>
      </c>
      <c r="I6" s="334">
        <v>0.10445960139563126</v>
      </c>
      <c r="J6" s="334">
        <v>0.61834605423543032</v>
      </c>
      <c r="K6" s="334">
        <v>5.2913000000000002E-2</v>
      </c>
      <c r="L6" s="334">
        <v>0.1645493552310309</v>
      </c>
      <c r="M6" s="334">
        <v>9.3800941363294296E-2</v>
      </c>
      <c r="N6" s="335">
        <v>1.0752957002212575</v>
      </c>
      <c r="O6" s="335">
        <v>3.8830204268850239</v>
      </c>
      <c r="P6" s="335">
        <v>47.755842428808094</v>
      </c>
      <c r="Q6" s="335">
        <v>160.31625531932139</v>
      </c>
      <c r="R6" s="335">
        <v>7.7247318021196216</v>
      </c>
      <c r="S6" s="335">
        <v>64.320310763042144</v>
      </c>
      <c r="T6" s="334">
        <v>-2.9612109345663426E-2</v>
      </c>
      <c r="U6" s="334">
        <v>5.943956971379534E-2</v>
      </c>
      <c r="V6" s="334">
        <v>2.0963183890618645E-2</v>
      </c>
      <c r="W6" s="334">
        <v>-0.38556790821030457</v>
      </c>
      <c r="X6" s="334">
        <v>3.1593225200262073E-2</v>
      </c>
      <c r="Y6" s="334">
        <v>0.58308529258008712</v>
      </c>
      <c r="Z6" s="334">
        <v>0.58308529258008712</v>
      </c>
      <c r="AA6" s="336">
        <v>2.5282982120005484E-2</v>
      </c>
    </row>
    <row r="7" spans="1:27" ht="14">
      <c r="A7" s="247" t="s">
        <v>640</v>
      </c>
      <c r="B7" s="333">
        <v>35</v>
      </c>
      <c r="C7" s="334">
        <v>0.15909478260869567</v>
      </c>
      <c r="D7" s="334">
        <v>5.6737586636622525E-2</v>
      </c>
      <c r="E7" s="334">
        <v>8.9759482733280785E-2</v>
      </c>
      <c r="F7" s="334">
        <v>0.31646841745603793</v>
      </c>
      <c r="G7" s="335">
        <v>1.1283051051783621</v>
      </c>
      <c r="H7" s="335">
        <v>1.3394463651948414</v>
      </c>
      <c r="I7" s="334">
        <v>9.923930788768992E-2</v>
      </c>
      <c r="J7" s="334">
        <v>0.49872040429854986</v>
      </c>
      <c r="K7" s="334">
        <v>5.2913000000000002E-2</v>
      </c>
      <c r="L7" s="334">
        <v>0.29310639265066302</v>
      </c>
      <c r="M7" s="334">
        <v>8.1783486259324037E-2</v>
      </c>
      <c r="N7" s="335">
        <v>2.3891597014301214</v>
      </c>
      <c r="O7" s="335">
        <v>0.82283597858861601</v>
      </c>
      <c r="P7" s="335">
        <v>6.4280939850502019</v>
      </c>
      <c r="Q7" s="335">
        <v>12.382869040734903</v>
      </c>
      <c r="R7" s="335">
        <v>1.8654553985370741</v>
      </c>
      <c r="S7" s="335">
        <v>28.072976948360228</v>
      </c>
      <c r="T7" s="334">
        <v>0.15854920600884467</v>
      </c>
      <c r="U7" s="334">
        <v>2.9845679057963842E-2</v>
      </c>
      <c r="V7" s="334">
        <v>2.0125586933592531E-2</v>
      </c>
      <c r="W7" s="334">
        <v>0.38991609265032834</v>
      </c>
      <c r="X7" s="334">
        <v>2.1741488211912706E-2</v>
      </c>
      <c r="Y7" s="334">
        <v>1.0954685021035435</v>
      </c>
      <c r="Z7" s="334">
        <v>1.0954685021035435</v>
      </c>
      <c r="AA7" s="336">
        <v>5.9639004702241441E-2</v>
      </c>
    </row>
    <row r="8" spans="1:27" ht="14">
      <c r="A8" s="247" t="s">
        <v>641</v>
      </c>
      <c r="B8" s="333">
        <v>15</v>
      </c>
      <c r="C8" s="334">
        <v>9.0564285714285708E-2</v>
      </c>
      <c r="D8" s="334">
        <v>0</v>
      </c>
      <c r="E8" s="334" t="s">
        <v>93</v>
      </c>
      <c r="F8" s="334">
        <v>0.1738047314193501</v>
      </c>
      <c r="G8" s="335">
        <v>0.44389138006489998</v>
      </c>
      <c r="H8" s="335">
        <v>0.76104618197253326</v>
      </c>
      <c r="I8" s="334">
        <v>7.3442659715974981E-2</v>
      </c>
      <c r="J8" s="334">
        <v>0.22738717670540012</v>
      </c>
      <c r="K8" s="334">
        <v>4.7306000000000001E-2</v>
      </c>
      <c r="L8" s="334">
        <v>0.62148405563532549</v>
      </c>
      <c r="M8" s="334">
        <v>4.9849161250959236E-2</v>
      </c>
      <c r="N8" s="335">
        <v>0.19063799548614979</v>
      </c>
      <c r="O8" s="335">
        <v>8.3095572504514408</v>
      </c>
      <c r="P8" s="335" t="s">
        <v>93</v>
      </c>
      <c r="Q8" s="335" t="s">
        <v>93</v>
      </c>
      <c r="R8" s="335">
        <v>1.6223296378573757</v>
      </c>
      <c r="S8" s="335">
        <v>14.951036175287276</v>
      </c>
      <c r="T8" s="334" t="s">
        <v>93</v>
      </c>
      <c r="U8" s="334">
        <v>1.7805533752553969E-2</v>
      </c>
      <c r="V8" s="334">
        <v>1.7948244308411583E-2</v>
      </c>
      <c r="W8" s="334">
        <v>4.9849161250959236E-2</v>
      </c>
      <c r="X8" s="334">
        <v>0.12860334221749448</v>
      </c>
      <c r="Y8" s="334">
        <v>0.28110834050684669</v>
      </c>
      <c r="Z8" s="334">
        <v>0.28110834050684663</v>
      </c>
      <c r="AA8" s="336">
        <v>7.7508014374716048E-4</v>
      </c>
    </row>
    <row r="9" spans="1:27" ht="14">
      <c r="A9" s="247" t="s">
        <v>642</v>
      </c>
      <c r="B9" s="333">
        <v>568</v>
      </c>
      <c r="C9" s="334">
        <v>8.0465436241610747E-2</v>
      </c>
      <c r="D9" s="334">
        <v>4.9066905828215586E-8</v>
      </c>
      <c r="E9" s="334" t="s">
        <v>93</v>
      </c>
      <c r="F9" s="334">
        <v>0.20777644630420286</v>
      </c>
      <c r="G9" s="335">
        <v>0.37443924484859969</v>
      </c>
      <c r="H9" s="335">
        <v>0.3984765556409175</v>
      </c>
      <c r="I9" s="334">
        <v>5.7272054381584919E-2</v>
      </c>
      <c r="J9" s="334">
        <v>0.22682557552961419</v>
      </c>
      <c r="K9" s="334">
        <v>4.7306000000000001E-2</v>
      </c>
      <c r="L9" s="334">
        <v>0.34254771446401233</v>
      </c>
      <c r="M9" s="334">
        <v>4.9807064685840313E-2</v>
      </c>
      <c r="N9" s="335">
        <v>0.32878811240865302</v>
      </c>
      <c r="O9" s="335">
        <v>4.2762722524190728</v>
      </c>
      <c r="P9" s="335" t="s">
        <v>93</v>
      </c>
      <c r="Q9" s="335" t="s">
        <v>93</v>
      </c>
      <c r="R9" s="335">
        <v>1.1380354084653936</v>
      </c>
      <c r="S9" s="335">
        <v>33.601517651478595</v>
      </c>
      <c r="T9" s="334" t="s">
        <v>93</v>
      </c>
      <c r="U9" s="334">
        <v>2.289227395172249E-2</v>
      </c>
      <c r="V9" s="334">
        <v>-1.3024346742433664E-2</v>
      </c>
      <c r="W9" s="334" t="s">
        <v>93</v>
      </c>
      <c r="X9" s="334">
        <v>9.7543187618609042E-2</v>
      </c>
      <c r="Y9" s="334">
        <v>0.36088813078537474</v>
      </c>
      <c r="Z9" s="334">
        <v>0.36088813078537474</v>
      </c>
      <c r="AA9" s="336">
        <v>-1.2057021094349254E-3</v>
      </c>
    </row>
    <row r="10" spans="1:27" ht="14">
      <c r="A10" s="247" t="s">
        <v>643</v>
      </c>
      <c r="B10" s="333">
        <v>14</v>
      </c>
      <c r="C10" s="334">
        <v>3.4277500000000002E-2</v>
      </c>
      <c r="D10" s="334">
        <v>0.22763344185619852</v>
      </c>
      <c r="E10" s="334">
        <v>0.15744765776572892</v>
      </c>
      <c r="F10" s="334">
        <v>0.24732206096351717</v>
      </c>
      <c r="G10" s="335">
        <v>0.62804663769258418</v>
      </c>
      <c r="H10" s="335">
        <v>0.81247562771327664</v>
      </c>
      <c r="I10" s="334">
        <v>7.5736412996012137E-2</v>
      </c>
      <c r="J10" s="334">
        <v>0.55961937245473869</v>
      </c>
      <c r="K10" s="334">
        <v>5.2913000000000002E-2</v>
      </c>
      <c r="L10" s="334">
        <v>0.30235027857951252</v>
      </c>
      <c r="M10" s="334">
        <v>6.4836182645913162E-2</v>
      </c>
      <c r="N10" s="335">
        <v>0.78831058035852075</v>
      </c>
      <c r="O10" s="335">
        <v>2.4539198950027634</v>
      </c>
      <c r="P10" s="335">
        <v>8.6054794922531404</v>
      </c>
      <c r="Q10" s="335">
        <v>10.752355231085623</v>
      </c>
      <c r="R10" s="335">
        <v>1.9141066446274413</v>
      </c>
      <c r="S10" s="335">
        <v>28.296299321153288</v>
      </c>
      <c r="T10" s="334">
        <v>0.1463996512322793</v>
      </c>
      <c r="U10" s="334">
        <v>6.7204997291489363E-2</v>
      </c>
      <c r="V10" s="334">
        <v>3.7359647665204013E-2</v>
      </c>
      <c r="W10" s="334">
        <v>0.22017927986497438</v>
      </c>
      <c r="X10" s="334">
        <v>5.6819180842403996E-3</v>
      </c>
      <c r="Y10" s="334">
        <v>2.2415451737553098E-3</v>
      </c>
      <c r="Z10" s="334">
        <v>2.2415451737552994E-3</v>
      </c>
      <c r="AA10" s="336">
        <v>0.22787292666526612</v>
      </c>
    </row>
    <row r="11" spans="1:27" ht="14">
      <c r="A11" s="247" t="s">
        <v>644</v>
      </c>
      <c r="B11" s="333">
        <v>27</v>
      </c>
      <c r="C11" s="334">
        <v>8.5834999999999995E-2</v>
      </c>
      <c r="D11" s="334">
        <v>0.20525114640955128</v>
      </c>
      <c r="E11" s="334">
        <v>0.29025635413491319</v>
      </c>
      <c r="F11" s="334">
        <v>0.19573514524683933</v>
      </c>
      <c r="G11" s="335">
        <v>0.57546483304106588</v>
      </c>
      <c r="H11" s="335">
        <v>0.64146870701471792</v>
      </c>
      <c r="I11" s="334">
        <v>6.8109504332856424E-2</v>
      </c>
      <c r="J11" s="334">
        <v>0.5788689759563741</v>
      </c>
      <c r="K11" s="334">
        <v>5.2913000000000002E-2</v>
      </c>
      <c r="L11" s="334">
        <v>0.17072402738576842</v>
      </c>
      <c r="M11" s="334">
        <v>6.3256715795700108E-2</v>
      </c>
      <c r="N11" s="335">
        <v>1.544178598437808</v>
      </c>
      <c r="O11" s="335">
        <v>4.1561134504933754</v>
      </c>
      <c r="P11" s="335">
        <v>16.904244970230788</v>
      </c>
      <c r="Q11" s="335">
        <v>20.140570312380291</v>
      </c>
      <c r="R11" s="335">
        <v>6.8690605400412119</v>
      </c>
      <c r="S11" s="335">
        <v>47.763759521720161</v>
      </c>
      <c r="T11" s="334">
        <v>-6.0032721026205854E-2</v>
      </c>
      <c r="U11" s="334">
        <v>4.5890535622925645E-2</v>
      </c>
      <c r="V11" s="334">
        <v>4.6903159142408279E-2</v>
      </c>
      <c r="W11" s="334">
        <v>0.3393378251123354</v>
      </c>
      <c r="X11" s="334">
        <v>0.30915585095530196</v>
      </c>
      <c r="Y11" s="334">
        <v>0.72668055392005815</v>
      </c>
      <c r="Z11" s="334">
        <v>0.72668055392005815</v>
      </c>
      <c r="AA11" s="336">
        <v>0.20632057123289904</v>
      </c>
    </row>
    <row r="12" spans="1:27" ht="14">
      <c r="A12" s="247" t="s">
        <v>645</v>
      </c>
      <c r="B12" s="333">
        <v>24</v>
      </c>
      <c r="C12" s="334">
        <v>8.4101052631578951E-2</v>
      </c>
      <c r="D12" s="334">
        <v>0.1233389317157333</v>
      </c>
      <c r="E12" s="334">
        <v>0.14567294791803095</v>
      </c>
      <c r="F12" s="334">
        <v>0.2553680892864994</v>
      </c>
      <c r="G12" s="335">
        <v>0.31529256983598403</v>
      </c>
      <c r="H12" s="335">
        <v>0.47075204848634544</v>
      </c>
      <c r="I12" s="334">
        <v>6.0495541362491009E-2</v>
      </c>
      <c r="J12" s="334">
        <v>0.46623069933478634</v>
      </c>
      <c r="K12" s="334">
        <v>5.2913000000000002E-2</v>
      </c>
      <c r="L12" s="334">
        <v>0.46194408637885409</v>
      </c>
      <c r="M12" s="334">
        <v>5.0882119359724157E-2</v>
      </c>
      <c r="N12" s="335">
        <v>1.2786649675026789</v>
      </c>
      <c r="O12" s="335">
        <v>1.3951404283252571</v>
      </c>
      <c r="P12" s="335">
        <v>7.8470146371084804</v>
      </c>
      <c r="Q12" s="335">
        <v>11.15839660891767</v>
      </c>
      <c r="R12" s="335">
        <v>1.6647215917807481</v>
      </c>
      <c r="S12" s="335">
        <v>44.759219595687902</v>
      </c>
      <c r="T12" s="334">
        <v>0.10455212950134336</v>
      </c>
      <c r="U12" s="334">
        <v>1.8236573388980014E-2</v>
      </c>
      <c r="V12" s="334">
        <v>-2.2588756128066975E-2</v>
      </c>
      <c r="W12" s="334">
        <v>1.8876238158055407</v>
      </c>
      <c r="X12" s="334">
        <v>3.9852496616758791E-2</v>
      </c>
      <c r="Y12" s="334">
        <v>0.60828155379406901</v>
      </c>
      <c r="Z12" s="334">
        <v>0.60828155379406901</v>
      </c>
      <c r="AA12" s="336">
        <v>0.12350100117883597</v>
      </c>
    </row>
    <row r="13" spans="1:27" ht="14">
      <c r="A13" s="247" t="s">
        <v>646</v>
      </c>
      <c r="B13" s="333">
        <v>32</v>
      </c>
      <c r="C13" s="334">
        <v>0.35515652173913048</v>
      </c>
      <c r="D13" s="334">
        <v>-1.7915896597858007E-5</v>
      </c>
      <c r="E13" s="334" t="s">
        <v>93</v>
      </c>
      <c r="F13" s="334">
        <v>0.20451763338497422</v>
      </c>
      <c r="G13" s="335">
        <v>0.67940308489163292</v>
      </c>
      <c r="H13" s="335">
        <v>1.171457071047836</v>
      </c>
      <c r="I13" s="334">
        <v>9.1746985368733491E-2</v>
      </c>
      <c r="J13" s="334">
        <v>0.366085597210624</v>
      </c>
      <c r="K13" s="334">
        <v>5.0672000000000002E-2</v>
      </c>
      <c r="L13" s="334">
        <v>0.57550426176123037</v>
      </c>
      <c r="M13" s="334">
        <v>6.0817668249255913E-2</v>
      </c>
      <c r="N13" s="335">
        <v>0.27486794148067012</v>
      </c>
      <c r="O13" s="335">
        <v>5.7822603958453156</v>
      </c>
      <c r="P13" s="335" t="s">
        <v>93</v>
      </c>
      <c r="Q13" s="335" t="s">
        <v>93</v>
      </c>
      <c r="R13" s="335">
        <v>2.8085918563185617</v>
      </c>
      <c r="S13" s="335">
        <v>86.541908981717086</v>
      </c>
      <c r="T13" s="334" t="s">
        <v>93</v>
      </c>
      <c r="U13" s="334">
        <v>2.1111275383845347E-2</v>
      </c>
      <c r="V13" s="334">
        <v>1.6386115473305877E-2</v>
      </c>
      <c r="W13" s="334" t="s">
        <v>93</v>
      </c>
      <c r="X13" s="334">
        <v>0.17767908407709018</v>
      </c>
      <c r="Y13" s="334">
        <v>0.2761307603548932</v>
      </c>
      <c r="Z13" s="334">
        <v>0.27613076035489326</v>
      </c>
      <c r="AA13" s="336">
        <v>-1.0225862520353711E-3</v>
      </c>
    </row>
    <row r="14" spans="1:27" ht="14">
      <c r="A14" s="247" t="s">
        <v>647</v>
      </c>
      <c r="B14" s="333">
        <v>41</v>
      </c>
      <c r="C14" s="334">
        <v>4.1387419354838688E-2</v>
      </c>
      <c r="D14" s="334">
        <v>0.12636826516708588</v>
      </c>
      <c r="E14" s="334">
        <v>0.20164568716545334</v>
      </c>
      <c r="F14" s="334">
        <v>0.28356853867642806</v>
      </c>
      <c r="G14" s="335">
        <v>0.96052756048811239</v>
      </c>
      <c r="H14" s="335">
        <v>1.1115321733442423</v>
      </c>
      <c r="I14" s="334">
        <v>8.9074334931153215E-2</v>
      </c>
      <c r="J14" s="334">
        <v>0.35282100910190417</v>
      </c>
      <c r="K14" s="334">
        <v>5.0672000000000002E-2</v>
      </c>
      <c r="L14" s="334">
        <v>0.20633852293836322</v>
      </c>
      <c r="M14" s="334">
        <v>7.8536557455491568E-2</v>
      </c>
      <c r="N14" s="335">
        <v>2.0607977148653194</v>
      </c>
      <c r="O14" s="335">
        <v>2.0460612293412557</v>
      </c>
      <c r="P14" s="335">
        <v>11.607041141993484</v>
      </c>
      <c r="Q14" s="335">
        <v>15.974601047170596</v>
      </c>
      <c r="R14" s="335">
        <v>3.6163268958860901</v>
      </c>
      <c r="S14" s="335">
        <v>32.79846401044874</v>
      </c>
      <c r="T14" s="334">
        <v>0.18435836678371018</v>
      </c>
      <c r="U14" s="334">
        <v>3.5512083849257643E-2</v>
      </c>
      <c r="V14" s="334">
        <v>2.7684617235980941E-2</v>
      </c>
      <c r="W14" s="334">
        <v>0.38226087278009907</v>
      </c>
      <c r="X14" s="334">
        <v>0.15997617762076355</v>
      </c>
      <c r="Y14" s="334">
        <v>0.2555367297858912</v>
      </c>
      <c r="Z14" s="334">
        <v>0.25553672978589126</v>
      </c>
      <c r="AA14" s="336">
        <v>0.1284573960907987</v>
      </c>
    </row>
    <row r="15" spans="1:27" ht="14">
      <c r="A15" s="247" t="s">
        <v>648</v>
      </c>
      <c r="B15" s="333">
        <v>155</v>
      </c>
      <c r="C15" s="334">
        <v>5.8026913580246926E-2</v>
      </c>
      <c r="D15" s="334">
        <v>0.12272432450303421</v>
      </c>
      <c r="E15" s="334">
        <v>0.28297691435712685</v>
      </c>
      <c r="F15" s="334">
        <v>0.2245735835052961</v>
      </c>
      <c r="G15" s="335">
        <v>0.8060249314889546</v>
      </c>
      <c r="H15" s="335">
        <v>0.88797853352427447</v>
      </c>
      <c r="I15" s="334">
        <v>7.9103842595182633E-2</v>
      </c>
      <c r="J15" s="334">
        <v>0.41106991639716206</v>
      </c>
      <c r="K15" s="334">
        <v>5.0672000000000002E-2</v>
      </c>
      <c r="L15" s="334">
        <v>0.16469046471107657</v>
      </c>
      <c r="M15" s="334">
        <v>7.2335090418629899E-2</v>
      </c>
      <c r="N15" s="335">
        <v>2.7985106130500914</v>
      </c>
      <c r="O15" s="335">
        <v>2.5297327118936694</v>
      </c>
      <c r="P15" s="335">
        <v>14.257163978296907</v>
      </c>
      <c r="Q15" s="335">
        <v>20.145572961987892</v>
      </c>
      <c r="R15" s="335">
        <v>5.2994153670432933</v>
      </c>
      <c r="S15" s="335">
        <v>36.396625335868265</v>
      </c>
      <c r="T15" s="334">
        <v>0.14518985188284592</v>
      </c>
      <c r="U15" s="334">
        <v>2.6055676989547524E-2</v>
      </c>
      <c r="V15" s="334">
        <v>3.3591319257448515E-2</v>
      </c>
      <c r="W15" s="334">
        <v>0.44385905738871967</v>
      </c>
      <c r="X15" s="334">
        <v>0.18195761920089848</v>
      </c>
      <c r="Y15" s="334">
        <v>0.42604327197368147</v>
      </c>
      <c r="Z15" s="334">
        <v>0.42604327197368153</v>
      </c>
      <c r="AA15" s="336">
        <v>0.12376381090514216</v>
      </c>
    </row>
    <row r="16" spans="1:27" ht="14">
      <c r="A16" s="247" t="s">
        <v>649</v>
      </c>
      <c r="B16" s="333">
        <v>9</v>
      </c>
      <c r="C16" s="334">
        <v>0.26942857142857141</v>
      </c>
      <c r="D16" s="334">
        <v>0.18485745815039542</v>
      </c>
      <c r="E16" s="334">
        <v>0.12062120565621212</v>
      </c>
      <c r="F16" s="334">
        <v>0.18964768401420506</v>
      </c>
      <c r="G16" s="335">
        <v>0.36287690746362616</v>
      </c>
      <c r="H16" s="335">
        <v>0.74074440817775966</v>
      </c>
      <c r="I16" s="334">
        <v>7.2537200604728083E-2</v>
      </c>
      <c r="J16" s="334">
        <v>0.44040713789280422</v>
      </c>
      <c r="K16" s="334">
        <v>5.0672000000000002E-2</v>
      </c>
      <c r="L16" s="334">
        <v>0.59504243085074804</v>
      </c>
      <c r="M16" s="334">
        <v>5.1988480971834165E-2</v>
      </c>
      <c r="N16" s="335">
        <v>0.74339755121213635</v>
      </c>
      <c r="O16" s="335">
        <v>2.0554855256495772</v>
      </c>
      <c r="P16" s="335">
        <v>6.2077663815507576</v>
      </c>
      <c r="Q16" s="335">
        <v>11.267462566320914</v>
      </c>
      <c r="R16" s="335">
        <v>1.3131997350000801</v>
      </c>
      <c r="S16" s="335">
        <v>6.1047952369519889</v>
      </c>
      <c r="T16" s="334">
        <v>1.8977296033657536E-2</v>
      </c>
      <c r="U16" s="334">
        <v>0.12328549570659267</v>
      </c>
      <c r="V16" s="334">
        <v>-7.7895713126700308E-3</v>
      </c>
      <c r="W16" s="334">
        <v>-6.823876146449355E-2</v>
      </c>
      <c r="X16" s="334">
        <v>0.11059819032478371</v>
      </c>
      <c r="Y16" s="334">
        <v>0.33464435789689451</v>
      </c>
      <c r="Z16" s="334">
        <v>0.33464435789689451</v>
      </c>
      <c r="AA16" s="336">
        <v>0.18218073123236797</v>
      </c>
    </row>
    <row r="17" spans="1:27" ht="14">
      <c r="A17" s="247" t="s">
        <v>650</v>
      </c>
      <c r="B17" s="333">
        <v>29</v>
      </c>
      <c r="C17" s="334">
        <v>0.13884705882352943</v>
      </c>
      <c r="D17" s="334">
        <v>2.673718088170194E-2</v>
      </c>
      <c r="E17" s="334">
        <v>3.7245953068641535E-2</v>
      </c>
      <c r="F17" s="334">
        <v>0.35148312805189125</v>
      </c>
      <c r="G17" s="335">
        <v>0.63678306690501063</v>
      </c>
      <c r="H17" s="335">
        <v>1.0122471500989898</v>
      </c>
      <c r="I17" s="334">
        <v>8.4646222894414952E-2</v>
      </c>
      <c r="J17" s="334">
        <v>0.45809706926083432</v>
      </c>
      <c r="K17" s="334">
        <v>5.2913000000000002E-2</v>
      </c>
      <c r="L17" s="334">
        <v>0.49837970537807613</v>
      </c>
      <c r="M17" s="334">
        <v>6.2238337279932075E-2</v>
      </c>
      <c r="N17" s="335">
        <v>1.4901603623923321</v>
      </c>
      <c r="O17" s="335">
        <v>0.84521902008445615</v>
      </c>
      <c r="P17" s="335">
        <v>8.5673406096235798</v>
      </c>
      <c r="Q17" s="335">
        <v>28.976525915260947</v>
      </c>
      <c r="R17" s="335">
        <v>1.1171922155683638</v>
      </c>
      <c r="S17" s="335">
        <v>24.420509593157799</v>
      </c>
      <c r="T17" s="334">
        <v>0.16205830564615067</v>
      </c>
      <c r="U17" s="334">
        <v>6.2281828512661563E-2</v>
      </c>
      <c r="V17" s="334">
        <v>3.9430872104602374E-2</v>
      </c>
      <c r="W17" s="334">
        <v>1.5865275072547198</v>
      </c>
      <c r="X17" s="334">
        <v>-8.2898887312460409E-2</v>
      </c>
      <c r="Y17" s="334">
        <v>4.1316300426625409E-3</v>
      </c>
      <c r="Z17" s="334">
        <v>4.1316300426625929E-3</v>
      </c>
      <c r="AA17" s="336">
        <v>2.8322848728030901E-2</v>
      </c>
    </row>
    <row r="18" spans="1:27" ht="14">
      <c r="A18" s="247" t="s">
        <v>651</v>
      </c>
      <c r="B18" s="333">
        <v>4</v>
      </c>
      <c r="C18" s="334">
        <v>1.4379999999999997E-2</v>
      </c>
      <c r="D18" s="334">
        <v>3.2913267387731621E-2</v>
      </c>
      <c r="E18" s="334">
        <v>4.0542644509719825E-2</v>
      </c>
      <c r="F18" s="334" t="e">
        <v>#DIV/0!</v>
      </c>
      <c r="G18" s="335">
        <v>0.40614323179001943</v>
      </c>
      <c r="H18" s="335">
        <v>0.85070285625625963</v>
      </c>
      <c r="I18" s="334">
        <v>7.7441347389029178E-2</v>
      </c>
      <c r="J18" s="334">
        <v>0.39035200238396089</v>
      </c>
      <c r="K18" s="334">
        <v>5.0672000000000002E-2</v>
      </c>
      <c r="L18" s="334">
        <v>0.63782548961027818</v>
      </c>
      <c r="M18" s="334">
        <v>5.2287201981691019E-2</v>
      </c>
      <c r="N18" s="335">
        <v>1.2651791745792258</v>
      </c>
      <c r="O18" s="335">
        <v>0.84169042598767041</v>
      </c>
      <c r="P18" s="335">
        <v>8.3850601385475141</v>
      </c>
      <c r="Q18" s="335">
        <v>24.686651750693933</v>
      </c>
      <c r="R18" s="335">
        <v>1.0834547900004152</v>
      </c>
      <c r="S18" s="335" t="e">
        <v>#DIV/0!</v>
      </c>
      <c r="T18" s="334">
        <v>0.16693656081179617</v>
      </c>
      <c r="U18" s="334">
        <v>4.329912616889043E-2</v>
      </c>
      <c r="V18" s="334">
        <v>-1.1810237899003919E-2</v>
      </c>
      <c r="W18" s="334">
        <v>-0.45735482683522954</v>
      </c>
      <c r="X18" s="334">
        <v>-0.15302086015967034</v>
      </c>
      <c r="Y18" s="334" t="e">
        <v>#DIV/0!</v>
      </c>
      <c r="Z18" s="334" t="e">
        <v>#DIV/0!</v>
      </c>
      <c r="AA18" s="336">
        <v>3.4353996250800434E-2</v>
      </c>
    </row>
    <row r="19" spans="1:27" ht="14">
      <c r="A19" s="247" t="s">
        <v>652</v>
      </c>
      <c r="B19" s="333">
        <v>59</v>
      </c>
      <c r="C19" s="334">
        <v>8.0353488372093052E-2</v>
      </c>
      <c r="D19" s="334">
        <v>0.12171996795178963</v>
      </c>
      <c r="E19" s="334">
        <v>0.10949443918503624</v>
      </c>
      <c r="F19" s="334">
        <v>0.24738525542012677</v>
      </c>
      <c r="G19" s="335">
        <v>0.82447065860412883</v>
      </c>
      <c r="H19" s="335">
        <v>0.96978288177757488</v>
      </c>
      <c r="I19" s="334">
        <v>8.2752316527279851E-2</v>
      </c>
      <c r="J19" s="334">
        <v>0.42305160954750315</v>
      </c>
      <c r="K19" s="334">
        <v>5.0672000000000002E-2</v>
      </c>
      <c r="L19" s="334">
        <v>0.23007607639659861</v>
      </c>
      <c r="M19" s="334">
        <v>7.2456799435330232E-2</v>
      </c>
      <c r="N19" s="335">
        <v>1.105419408431602</v>
      </c>
      <c r="O19" s="335">
        <v>2.6476145494545156</v>
      </c>
      <c r="P19" s="335">
        <v>13.359261031056754</v>
      </c>
      <c r="Q19" s="335">
        <v>21.300041791694159</v>
      </c>
      <c r="R19" s="335">
        <v>2.4497397359053896</v>
      </c>
      <c r="S19" s="335">
        <v>196.77408940834607</v>
      </c>
      <c r="T19" s="334">
        <v>0.23796513338836098</v>
      </c>
      <c r="U19" s="334">
        <v>8.4753690210263591E-2</v>
      </c>
      <c r="V19" s="334">
        <v>4.0548598938487654E-2</v>
      </c>
      <c r="W19" s="334">
        <v>0.51614040151384999</v>
      </c>
      <c r="X19" s="334">
        <v>3.4987853971055624E-2</v>
      </c>
      <c r="Y19" s="334">
        <v>1.3000935823024555</v>
      </c>
      <c r="Z19" s="334">
        <v>1.3000935823024555</v>
      </c>
      <c r="AA19" s="336">
        <v>0.12453893761725805</v>
      </c>
    </row>
    <row r="20" spans="1:27" ht="14">
      <c r="A20" s="247" t="s">
        <v>653</v>
      </c>
      <c r="B20" s="333">
        <v>16</v>
      </c>
      <c r="C20" s="334">
        <v>0.1923857142857143</v>
      </c>
      <c r="D20" s="334">
        <v>-4.0171813141936595E-2</v>
      </c>
      <c r="E20" s="334">
        <v>-4.7596270133623157E-2</v>
      </c>
      <c r="F20" s="334">
        <v>9.6718480138169249E-2</v>
      </c>
      <c r="G20" s="335">
        <v>1.1824381999346527</v>
      </c>
      <c r="H20" s="335">
        <v>1.0709931914897641</v>
      </c>
      <c r="I20" s="334">
        <v>8.7266296340443472E-2</v>
      </c>
      <c r="J20" s="334">
        <v>0.64314909122165775</v>
      </c>
      <c r="K20" s="334">
        <v>5.2913000000000002E-2</v>
      </c>
      <c r="L20" s="334">
        <v>6.666777815396692E-2</v>
      </c>
      <c r="M20" s="334">
        <v>8.4094140364796094E-2</v>
      </c>
      <c r="N20" s="335">
        <v>1.2912283646149045</v>
      </c>
      <c r="O20" s="335">
        <v>2.5369156934745063</v>
      </c>
      <c r="P20" s="335">
        <v>10.368996250268257</v>
      </c>
      <c r="Q20" s="335" t="s">
        <v>93</v>
      </c>
      <c r="R20" s="335">
        <v>2.2473251040452182</v>
      </c>
      <c r="S20" s="335">
        <v>17.007588937030416</v>
      </c>
      <c r="T20" s="334">
        <v>0.10176223498123434</v>
      </c>
      <c r="U20" s="334">
        <v>9.3624405281098069E-2</v>
      </c>
      <c r="V20" s="334">
        <v>-3.1172027590448428E-2</v>
      </c>
      <c r="W20" s="334" t="s">
        <v>93</v>
      </c>
      <c r="X20" s="334">
        <v>-2.5132407110005538E-2</v>
      </c>
      <c r="Y20" s="334">
        <v>8.1724137931034487E-4</v>
      </c>
      <c r="Z20" s="334">
        <v>8.1724137931038499E-4</v>
      </c>
      <c r="AA20" s="336">
        <v>-3.8444728191895303E-2</v>
      </c>
    </row>
    <row r="21" spans="1:27" ht="14">
      <c r="A21" s="247" t="s">
        <v>654</v>
      </c>
      <c r="B21" s="333">
        <v>64</v>
      </c>
      <c r="C21" s="334">
        <v>0.27099842105263161</v>
      </c>
      <c r="D21" s="334">
        <v>7.4093347459317171E-2</v>
      </c>
      <c r="E21" s="334">
        <v>0.26348563236851774</v>
      </c>
      <c r="F21" s="334">
        <v>0.22563711324361344</v>
      </c>
      <c r="G21" s="335">
        <v>0.96170099898914274</v>
      </c>
      <c r="H21" s="335">
        <v>1.0878559034733686</v>
      </c>
      <c r="I21" s="334">
        <v>8.8018373294912244E-2</v>
      </c>
      <c r="J21" s="334">
        <v>0.5342530314325552</v>
      </c>
      <c r="K21" s="334">
        <v>5.2913000000000002E-2</v>
      </c>
      <c r="L21" s="334">
        <v>0.20064027176963217</v>
      </c>
      <c r="M21" s="334">
        <v>7.8320701981410029E-2</v>
      </c>
      <c r="N21" s="335">
        <v>5.1898906916961591</v>
      </c>
      <c r="O21" s="335">
        <v>1.477094248399097</v>
      </c>
      <c r="P21" s="335">
        <v>14.095049694774538</v>
      </c>
      <c r="Q21" s="335">
        <v>19.251985478998566</v>
      </c>
      <c r="R21" s="335">
        <v>4.7282653079934329</v>
      </c>
      <c r="S21" s="335">
        <v>51.59929505052196</v>
      </c>
      <c r="T21" s="334">
        <v>0.13400221901255505</v>
      </c>
      <c r="U21" s="334">
        <v>9.509770439480392E-3</v>
      </c>
      <c r="V21" s="334">
        <v>1.9117502012224813E-2</v>
      </c>
      <c r="W21" s="334">
        <v>0.44407781086413789</v>
      </c>
      <c r="X21" s="334">
        <v>0.18250592269612659</v>
      </c>
      <c r="Y21" s="334">
        <v>0.50992050715619563</v>
      </c>
      <c r="Z21" s="334">
        <v>0.50992050715619563</v>
      </c>
      <c r="AA21" s="336">
        <v>7.8105530771043777E-2</v>
      </c>
    </row>
    <row r="22" spans="1:27" ht="14">
      <c r="A22" s="247" t="s">
        <v>655</v>
      </c>
      <c r="B22" s="333">
        <v>36</v>
      </c>
      <c r="C22" s="334">
        <v>6.7108695652173908E-2</v>
      </c>
      <c r="D22" s="334">
        <v>0.22484874696685003</v>
      </c>
      <c r="E22" s="334">
        <v>0.44760352743839021</v>
      </c>
      <c r="F22" s="334">
        <v>0.15354539347282112</v>
      </c>
      <c r="G22" s="335">
        <v>1.3245870396777912</v>
      </c>
      <c r="H22" s="335">
        <v>1.3503292085851684</v>
      </c>
      <c r="I22" s="334">
        <v>9.9724682702898512E-2</v>
      </c>
      <c r="J22" s="334">
        <v>0.54576795171788506</v>
      </c>
      <c r="K22" s="334">
        <v>5.2913000000000002E-2</v>
      </c>
      <c r="L22" s="334">
        <v>4.4203103780493629E-2</v>
      </c>
      <c r="M22" s="334">
        <v>9.7070731326658444E-2</v>
      </c>
      <c r="N22" s="335">
        <v>3.6197887497686683</v>
      </c>
      <c r="O22" s="335">
        <v>6.6298031887285918</v>
      </c>
      <c r="P22" s="335">
        <v>25.424491644255795</v>
      </c>
      <c r="Q22" s="335">
        <v>29.358881300093113</v>
      </c>
      <c r="R22" s="335">
        <v>34.082061225436917</v>
      </c>
      <c r="S22" s="335">
        <v>81.131988424750304</v>
      </c>
      <c r="T22" s="334">
        <v>-4.7057418514210192E-2</v>
      </c>
      <c r="U22" s="334">
        <v>2.947135048201252E-2</v>
      </c>
      <c r="V22" s="334">
        <v>2.8994371924491297E-2</v>
      </c>
      <c r="W22" s="334">
        <v>0.21368899754474255</v>
      </c>
      <c r="X22" s="334">
        <v>-1.7413160406024974E-3</v>
      </c>
      <c r="Y22" s="334">
        <v>0.1603021523436578</v>
      </c>
      <c r="Z22" s="334">
        <v>0.16030215234365786</v>
      </c>
      <c r="AA22" s="336">
        <v>0.22923659803850288</v>
      </c>
    </row>
    <row r="23" spans="1:27" ht="14">
      <c r="A23" s="247" t="s">
        <v>656</v>
      </c>
      <c r="B23" s="333">
        <v>40</v>
      </c>
      <c r="C23" s="334">
        <v>0.13703928571428567</v>
      </c>
      <c r="D23" s="334">
        <v>0.15228587966203128</v>
      </c>
      <c r="E23" s="334">
        <v>0.16706062867511484</v>
      </c>
      <c r="F23" s="334">
        <v>0.22547510090802267</v>
      </c>
      <c r="G23" s="335">
        <v>1.0468296973758173</v>
      </c>
      <c r="H23" s="335">
        <v>1.1503560568511637</v>
      </c>
      <c r="I23" s="334">
        <v>9.0805880135561901E-2</v>
      </c>
      <c r="J23" s="334">
        <v>0.35513321135865794</v>
      </c>
      <c r="K23" s="334">
        <v>5.0672000000000002E-2</v>
      </c>
      <c r="L23" s="334">
        <v>0.14981854524871416</v>
      </c>
      <c r="M23" s="334">
        <v>8.2895179267255037E-2</v>
      </c>
      <c r="N23" s="335">
        <v>1.4469463691963746</v>
      </c>
      <c r="O23" s="335">
        <v>3.2317776960093791</v>
      </c>
      <c r="P23" s="335">
        <v>16.818670128219878</v>
      </c>
      <c r="Q23" s="335">
        <v>21.145401988791974</v>
      </c>
      <c r="R23" s="335">
        <v>5.4556033444931957</v>
      </c>
      <c r="S23" s="335">
        <v>42.747570287385393</v>
      </c>
      <c r="T23" s="334">
        <v>0.22558522996952068</v>
      </c>
      <c r="U23" s="334">
        <v>5.5364628383658507E-2</v>
      </c>
      <c r="V23" s="334">
        <v>6.6163120843638859E-2</v>
      </c>
      <c r="W23" s="334">
        <v>0.63007613095891568</v>
      </c>
      <c r="X23" s="334">
        <v>0.22855656826808135</v>
      </c>
      <c r="Y23" s="334">
        <v>0.33492609794429107</v>
      </c>
      <c r="Z23" s="334">
        <v>0.33492609794429107</v>
      </c>
      <c r="AA23" s="336">
        <v>0.15219466551373387</v>
      </c>
    </row>
    <row r="24" spans="1:27" ht="14">
      <c r="A24" s="247" t="s">
        <v>657</v>
      </c>
      <c r="B24" s="333">
        <v>20</v>
      </c>
      <c r="C24" s="334">
        <v>8.9029999999999998E-2</v>
      </c>
      <c r="D24" s="334">
        <v>0.22729326659659724</v>
      </c>
      <c r="E24" s="334">
        <v>0.14821356557111473</v>
      </c>
      <c r="F24" s="334">
        <v>0.17556674557132856</v>
      </c>
      <c r="G24" s="335">
        <v>0.84309626466828824</v>
      </c>
      <c r="H24" s="335">
        <v>0.8809551761105191</v>
      </c>
      <c r="I24" s="334">
        <v>7.8790600854529158E-2</v>
      </c>
      <c r="J24" s="334">
        <v>0.28411723582549719</v>
      </c>
      <c r="K24" s="334">
        <v>4.7306000000000001E-2</v>
      </c>
      <c r="L24" s="334">
        <v>0.13459401557146977</v>
      </c>
      <c r="M24" s="334">
        <v>7.2961185871697157E-2</v>
      </c>
      <c r="N24" s="335">
        <v>0.67605900585754497</v>
      </c>
      <c r="O24" s="335">
        <v>3.0801449685443743</v>
      </c>
      <c r="P24" s="335">
        <v>11.415462094849877</v>
      </c>
      <c r="Q24" s="335">
        <v>13.486470588876516</v>
      </c>
      <c r="R24" s="335">
        <v>1.7829541657731918</v>
      </c>
      <c r="S24" s="335">
        <v>15.731003776902918</v>
      </c>
      <c r="T24" s="334">
        <v>7.7362263909015851E-3</v>
      </c>
      <c r="U24" s="334">
        <v>5.0393138280186413E-2</v>
      </c>
      <c r="V24" s="334">
        <v>2.3158588136211408E-2</v>
      </c>
      <c r="W24" s="334">
        <v>0.18265628701769149</v>
      </c>
      <c r="X24" s="334">
        <v>0.11373244135744745</v>
      </c>
      <c r="Y24" s="334">
        <v>6.5882410942417188E-2</v>
      </c>
      <c r="Z24" s="334">
        <v>6.5882410942417202E-2</v>
      </c>
      <c r="AA24" s="336">
        <v>0.2283328306570388</v>
      </c>
    </row>
    <row r="25" spans="1:27" ht="14">
      <c r="A25" s="247" t="s">
        <v>658</v>
      </c>
      <c r="B25" s="333">
        <v>496</v>
      </c>
      <c r="C25" s="334">
        <v>0.28926777777777768</v>
      </c>
      <c r="D25" s="334">
        <v>8.973321008991049E-2</v>
      </c>
      <c r="E25" s="334">
        <v>3.5253743265585641E-2</v>
      </c>
      <c r="F25" s="334">
        <v>0.1575395745508596</v>
      </c>
      <c r="G25" s="335">
        <v>1.079453865168337</v>
      </c>
      <c r="H25" s="335">
        <v>1.1352650325488571</v>
      </c>
      <c r="I25" s="334">
        <v>9.013282045167903E-2</v>
      </c>
      <c r="J25" s="334">
        <v>0.75679798038806467</v>
      </c>
      <c r="K25" s="334">
        <v>6.0194999999999999E-2</v>
      </c>
      <c r="L25" s="334">
        <v>0.11535593699125279</v>
      </c>
      <c r="M25" s="334">
        <v>8.4943352465202585E-2</v>
      </c>
      <c r="N25" s="335">
        <v>0.81995482629748562</v>
      </c>
      <c r="O25" s="335">
        <v>7.9180455262052387</v>
      </c>
      <c r="P25" s="335">
        <v>15.778971602812438</v>
      </c>
      <c r="Q25" s="335">
        <v>68.971321351653629</v>
      </c>
      <c r="R25" s="335">
        <v>8.2168637516977441</v>
      </c>
      <c r="S25" s="335">
        <v>64.275556778431664</v>
      </c>
      <c r="T25" s="334">
        <v>0.13361481417253054</v>
      </c>
      <c r="U25" s="334">
        <v>3.2863082894968088E-2</v>
      </c>
      <c r="V25" s="334">
        <v>-3.5741804815657557E-2</v>
      </c>
      <c r="W25" s="334">
        <v>-0.45020504417500956</v>
      </c>
      <c r="X25" s="334">
        <v>-5.6722488068671598E-2</v>
      </c>
      <c r="Y25" s="334">
        <v>1.1705552086895756E-3</v>
      </c>
      <c r="Z25" s="334">
        <v>1.1705552086895832E-3</v>
      </c>
      <c r="AA25" s="336">
        <v>8.9533157539079949E-2</v>
      </c>
    </row>
    <row r="26" spans="1:27" ht="14">
      <c r="A26" s="247" t="s">
        <v>659</v>
      </c>
      <c r="B26" s="333">
        <v>228</v>
      </c>
      <c r="C26" s="334">
        <v>0.1844677500000001</v>
      </c>
      <c r="D26" s="334">
        <v>0.29539699980816747</v>
      </c>
      <c r="E26" s="334">
        <v>0.16949548287090127</v>
      </c>
      <c r="F26" s="334">
        <v>0.16800911923646392</v>
      </c>
      <c r="G26" s="335">
        <v>0.91513597348158404</v>
      </c>
      <c r="H26" s="335">
        <v>0.9828330980612211</v>
      </c>
      <c r="I26" s="334">
        <v>8.3334356173530466E-2</v>
      </c>
      <c r="J26" s="334">
        <v>0.76644924406460357</v>
      </c>
      <c r="K26" s="334">
        <v>6.0194999999999999E-2</v>
      </c>
      <c r="L26" s="334">
        <v>0.12692026378326532</v>
      </c>
      <c r="M26" s="334">
        <v>7.8487511664602633E-2</v>
      </c>
      <c r="N26" s="335">
        <v>1.1116585547632123</v>
      </c>
      <c r="O26" s="335">
        <v>6.2393362844695357</v>
      </c>
      <c r="P26" s="335">
        <v>15.247996808426507</v>
      </c>
      <c r="Q26" s="335">
        <v>20.323167412087336</v>
      </c>
      <c r="R26" s="335">
        <v>6.6439639202639897</v>
      </c>
      <c r="S26" s="335">
        <v>55.667674074614986</v>
      </c>
      <c r="T26" s="334">
        <v>0.32088500973891382</v>
      </c>
      <c r="U26" s="334">
        <v>5.5683047369587561E-2</v>
      </c>
      <c r="V26" s="334">
        <v>1.1179218571909871E-2</v>
      </c>
      <c r="W26" s="334">
        <v>9.9973970216585509E-2</v>
      </c>
      <c r="X26" s="334">
        <v>0.24044099573432734</v>
      </c>
      <c r="Y26" s="334">
        <v>0.58634992011001108</v>
      </c>
      <c r="Z26" s="334">
        <v>0.58634992011001108</v>
      </c>
      <c r="AA26" s="336">
        <v>0.27245508744758778</v>
      </c>
    </row>
    <row r="27" spans="1:27" ht="14">
      <c r="A27" s="247" t="s">
        <v>660</v>
      </c>
      <c r="B27" s="333">
        <v>32</v>
      </c>
      <c r="C27" s="334">
        <v>7.7383125000000011E-2</v>
      </c>
      <c r="D27" s="334">
        <v>0.14013177013494141</v>
      </c>
      <c r="E27" s="334">
        <v>0.15944153901851482</v>
      </c>
      <c r="F27" s="334">
        <v>0.30436626387548343</v>
      </c>
      <c r="G27" s="335">
        <v>0.71959982932993805</v>
      </c>
      <c r="H27" s="335">
        <v>0.78090558886125716</v>
      </c>
      <c r="I27" s="334">
        <v>7.4328389263212072E-2</v>
      </c>
      <c r="J27" s="334">
        <v>0.47237751135732181</v>
      </c>
      <c r="K27" s="334">
        <v>5.2913000000000002E-2</v>
      </c>
      <c r="L27" s="334">
        <v>0.19600340205485298</v>
      </c>
      <c r="M27" s="334">
        <v>6.7538118108061429E-2</v>
      </c>
      <c r="N27" s="335">
        <v>1.6274535457682093</v>
      </c>
      <c r="O27" s="335">
        <v>1.9902138121744768</v>
      </c>
      <c r="P27" s="335">
        <v>9.2612839027920799</v>
      </c>
      <c r="Q27" s="335">
        <v>14.486877977037272</v>
      </c>
      <c r="R27" s="335">
        <v>2.6032866615094417</v>
      </c>
      <c r="S27" s="335">
        <v>26.965784711966094</v>
      </c>
      <c r="T27" s="334">
        <v>0.10031098474416356</v>
      </c>
      <c r="U27" s="334">
        <v>2.9724300766397514E-2</v>
      </c>
      <c r="V27" s="334">
        <v>6.4850458796224201E-3</v>
      </c>
      <c r="W27" s="334">
        <v>0.23524495902130976</v>
      </c>
      <c r="X27" s="334">
        <v>0.15904839202146528</v>
      </c>
      <c r="Y27" s="334">
        <v>0.13829432112895118</v>
      </c>
      <c r="Z27" s="334">
        <v>0.13829432112895113</v>
      </c>
      <c r="AA27" s="336">
        <v>0.1374219856741285</v>
      </c>
    </row>
    <row r="28" spans="1:27" ht="14">
      <c r="A28" s="247" t="s">
        <v>661</v>
      </c>
      <c r="B28" s="333">
        <v>112</v>
      </c>
      <c r="C28" s="334">
        <v>0.19174545454545455</v>
      </c>
      <c r="D28" s="334">
        <v>9.5346671011015169E-2</v>
      </c>
      <c r="E28" s="334">
        <v>0.15595603913111394</v>
      </c>
      <c r="F28" s="334">
        <v>0.25179176348277832</v>
      </c>
      <c r="G28" s="335">
        <v>1.1898070318069807</v>
      </c>
      <c r="H28" s="335">
        <v>1.2511238546074688</v>
      </c>
      <c r="I28" s="334">
        <v>9.5300123915493112E-2</v>
      </c>
      <c r="J28" s="334">
        <v>0.72713880161746813</v>
      </c>
      <c r="K28" s="334">
        <v>6.0194999999999999E-2</v>
      </c>
      <c r="L28" s="334">
        <v>0.10716859687946864</v>
      </c>
      <c r="M28" s="334">
        <v>8.9925203619899932E-2</v>
      </c>
      <c r="N28" s="335">
        <v>2.0295289670544729</v>
      </c>
      <c r="O28" s="335">
        <v>4.4207548833730232</v>
      </c>
      <c r="P28" s="335">
        <v>24.586304133467152</v>
      </c>
      <c r="Q28" s="335">
        <v>43.193318228584296</v>
      </c>
      <c r="R28" s="335">
        <v>6.5067316410456382</v>
      </c>
      <c r="S28" s="335">
        <v>80.039611659363928</v>
      </c>
      <c r="T28" s="334">
        <v>0.29437246393917504</v>
      </c>
      <c r="U28" s="334">
        <v>4.7752921315054687E-2</v>
      </c>
      <c r="V28" s="334">
        <v>3.0839959025228011E-2</v>
      </c>
      <c r="W28" s="334">
        <v>0.54682699783450461</v>
      </c>
      <c r="X28" s="334">
        <v>1.5254544403730292E-2</v>
      </c>
      <c r="Y28" s="334">
        <v>2.2968581408749968</v>
      </c>
      <c r="Z28" s="334">
        <v>2.2968581408749968</v>
      </c>
      <c r="AA28" s="336">
        <v>9.9508686123454912E-2</v>
      </c>
    </row>
    <row r="29" spans="1:27" ht="14">
      <c r="A29" s="247" t="s">
        <v>662</v>
      </c>
      <c r="B29" s="333">
        <v>8</v>
      </c>
      <c r="C29" s="334">
        <v>-3.4859999999999995E-2</v>
      </c>
      <c r="D29" s="334">
        <v>-4.488621563380616E-2</v>
      </c>
      <c r="E29" s="334">
        <v>-8.3455147405030905E-2</v>
      </c>
      <c r="F29" s="334" t="e">
        <v>#DIV/0!</v>
      </c>
      <c r="G29" s="335">
        <v>0.9273766123201671</v>
      </c>
      <c r="H29" s="335">
        <v>0.86597801848158107</v>
      </c>
      <c r="I29" s="334">
        <v>7.8122619624278522E-2</v>
      </c>
      <c r="J29" s="334">
        <v>0.7018361349746528</v>
      </c>
      <c r="K29" s="334">
        <v>6.0194999999999999E-2</v>
      </c>
      <c r="L29" s="334">
        <v>5.4858952744234517E-2</v>
      </c>
      <c r="M29" s="334">
        <v>7.6313570521383822E-2</v>
      </c>
      <c r="N29" s="335">
        <v>5.5665464104524291</v>
      </c>
      <c r="O29" s="335">
        <v>0.90983348596663294</v>
      </c>
      <c r="P29" s="335">
        <v>30.697397330329949</v>
      </c>
      <c r="Q29" s="335" t="s">
        <v>93</v>
      </c>
      <c r="R29" s="335">
        <v>3.8520329061857304</v>
      </c>
      <c r="S29" s="335" t="e">
        <v>#DIV/0!</v>
      </c>
      <c r="T29" s="334">
        <v>0.11155603968836578</v>
      </c>
      <c r="U29" s="334">
        <v>1.4296257705999828E-2</v>
      </c>
      <c r="V29" s="334">
        <v>-3.8403387877209205E-2</v>
      </c>
      <c r="W29" s="334" t="s">
        <v>93</v>
      </c>
      <c r="X29" s="334">
        <v>-0.28809279532643722</v>
      </c>
      <c r="Y29" s="334" t="e">
        <v>#DIV/0!</v>
      </c>
      <c r="Z29" s="334" t="e">
        <v>#DIV/0!</v>
      </c>
      <c r="AA29" s="336">
        <v>-6.2642693941217062E-2</v>
      </c>
    </row>
    <row r="30" spans="1:27" ht="14">
      <c r="A30" s="247" t="s">
        <v>663</v>
      </c>
      <c r="B30" s="333">
        <v>114</v>
      </c>
      <c r="C30" s="334">
        <v>7.2683026315789462E-2</v>
      </c>
      <c r="D30" s="334">
        <v>0.1042317781378465</v>
      </c>
      <c r="E30" s="334">
        <v>0.17911725405258233</v>
      </c>
      <c r="F30" s="334">
        <v>0.20322179788284844</v>
      </c>
      <c r="G30" s="335">
        <v>0.93745455958545454</v>
      </c>
      <c r="H30" s="335">
        <v>0.97147713079879416</v>
      </c>
      <c r="I30" s="334">
        <v>8.2827880033626219E-2</v>
      </c>
      <c r="J30" s="334">
        <v>0.51838785247489882</v>
      </c>
      <c r="K30" s="334">
        <v>5.2913000000000002E-2</v>
      </c>
      <c r="L30" s="334">
        <v>9.9194588373333212E-2</v>
      </c>
      <c r="M30" s="334">
        <v>7.8548315008803479E-2</v>
      </c>
      <c r="N30" s="335">
        <v>2.3834942903240259</v>
      </c>
      <c r="O30" s="335">
        <v>3.2061627768537928</v>
      </c>
      <c r="P30" s="335">
        <v>19.991142489797852</v>
      </c>
      <c r="Q30" s="335">
        <v>29.75669159380908</v>
      </c>
      <c r="R30" s="335">
        <v>4.9689676915224181</v>
      </c>
      <c r="S30" s="335">
        <v>48.443351946072887</v>
      </c>
      <c r="T30" s="334">
        <v>0.20917712101227742</v>
      </c>
      <c r="U30" s="334">
        <v>3.3041881822282494E-2</v>
      </c>
      <c r="V30" s="334">
        <v>5.6801346628431969E-2</v>
      </c>
      <c r="W30" s="334">
        <v>0.77176495543711487</v>
      </c>
      <c r="X30" s="334">
        <v>0.12615730756275645</v>
      </c>
      <c r="Y30" s="334">
        <v>0.19877481128012497</v>
      </c>
      <c r="Z30" s="334">
        <v>0.19877481128012497</v>
      </c>
      <c r="AA30" s="336">
        <v>0.10606521971463007</v>
      </c>
    </row>
    <row r="31" spans="1:27" ht="14">
      <c r="A31" s="247" t="s">
        <v>664</v>
      </c>
      <c r="B31" s="333">
        <v>48</v>
      </c>
      <c r="C31" s="334">
        <v>0.11701107142857142</v>
      </c>
      <c r="D31" s="334">
        <v>6.4877214005939696E-2</v>
      </c>
      <c r="E31" s="334">
        <v>0.2531760347582192</v>
      </c>
      <c r="F31" s="334">
        <v>0.23948117402030841</v>
      </c>
      <c r="G31" s="335">
        <v>1.137436783693752</v>
      </c>
      <c r="H31" s="335">
        <v>1.2099722611351151</v>
      </c>
      <c r="I31" s="334">
        <v>9.3464762846626137E-2</v>
      </c>
      <c r="J31" s="334">
        <v>0.45923646317133821</v>
      </c>
      <c r="K31" s="334">
        <v>5.2913000000000002E-2</v>
      </c>
      <c r="L31" s="334">
        <v>0.12289530779385183</v>
      </c>
      <c r="M31" s="334">
        <v>8.6855451614682708E-2</v>
      </c>
      <c r="N31" s="335">
        <v>4.3614486637156373</v>
      </c>
      <c r="O31" s="335">
        <v>1.7350431497835168</v>
      </c>
      <c r="P31" s="335">
        <v>17.179436268509424</v>
      </c>
      <c r="Q31" s="335">
        <v>25.17122209401257</v>
      </c>
      <c r="R31" s="335">
        <v>5.4904686593561198</v>
      </c>
      <c r="S31" s="335">
        <v>63.332048750995547</v>
      </c>
      <c r="T31" s="334">
        <v>0.19376595107839986</v>
      </c>
      <c r="U31" s="334">
        <v>2.2327087989987934E-2</v>
      </c>
      <c r="V31" s="334">
        <v>4.8466669704325782E-2</v>
      </c>
      <c r="W31" s="334">
        <v>1.1244004774956353</v>
      </c>
      <c r="X31" s="334">
        <v>0.2613749950535173</v>
      </c>
      <c r="Y31" s="334">
        <v>8.3295433266014726E-2</v>
      </c>
      <c r="Z31" s="334">
        <v>8.329543326601474E-2</v>
      </c>
      <c r="AA31" s="336">
        <v>6.7570155594760747E-2</v>
      </c>
    </row>
    <row r="32" spans="1:27" ht="14">
      <c r="A32" s="247" t="s">
        <v>665</v>
      </c>
      <c r="B32" s="333">
        <v>92</v>
      </c>
      <c r="C32" s="334">
        <v>0.16430787878787878</v>
      </c>
      <c r="D32" s="334">
        <v>0.10604785218649977</v>
      </c>
      <c r="E32" s="334">
        <v>0.12420599801084616</v>
      </c>
      <c r="F32" s="334">
        <v>0.12604725144204554</v>
      </c>
      <c r="G32" s="335">
        <v>0.76284683078309479</v>
      </c>
      <c r="H32" s="335">
        <v>0.82516963726524373</v>
      </c>
      <c r="I32" s="334">
        <v>7.6302565822029877E-2</v>
      </c>
      <c r="J32" s="334">
        <v>0.48706590208810535</v>
      </c>
      <c r="K32" s="334">
        <v>5.2913000000000002E-2</v>
      </c>
      <c r="L32" s="334">
        <v>0.13729040996772421</v>
      </c>
      <c r="M32" s="334">
        <v>7.1275290875700767E-2</v>
      </c>
      <c r="N32" s="335">
        <v>1.3914059388575721</v>
      </c>
      <c r="O32" s="335">
        <v>4.3338246579297142</v>
      </c>
      <c r="P32" s="335">
        <v>19.411262700130479</v>
      </c>
      <c r="Q32" s="335">
        <v>38.919561022778652</v>
      </c>
      <c r="R32" s="335">
        <v>4.7981015010480519</v>
      </c>
      <c r="S32" s="335">
        <v>108.63059346458422</v>
      </c>
      <c r="T32" s="334">
        <v>4.905050516759029E-3</v>
      </c>
      <c r="U32" s="334">
        <v>4.713952806591256E-2</v>
      </c>
      <c r="V32" s="334">
        <v>-1.2526244421036331E-2</v>
      </c>
      <c r="W32" s="334">
        <v>-0.15551247254089462</v>
      </c>
      <c r="X32" s="334">
        <v>6.0927631113778392E-2</v>
      </c>
      <c r="Y32" s="334">
        <v>0.22878758058060275</v>
      </c>
      <c r="Z32" s="334">
        <v>0.22878758058060278</v>
      </c>
      <c r="AA32" s="336">
        <v>0.10600218052846805</v>
      </c>
    </row>
    <row r="33" spans="1:27" ht="14">
      <c r="A33" s="247" t="s">
        <v>666</v>
      </c>
      <c r="B33" s="333">
        <v>53</v>
      </c>
      <c r="C33" s="334">
        <v>0.21702173913043477</v>
      </c>
      <c r="D33" s="334">
        <v>0.14608556307315398</v>
      </c>
      <c r="E33" s="334">
        <v>0.31754796538384716</v>
      </c>
      <c r="F33" s="334">
        <v>0.20916445044258325</v>
      </c>
      <c r="G33" s="335">
        <v>0.82476909563449707</v>
      </c>
      <c r="H33" s="335">
        <v>0.94548129823775851</v>
      </c>
      <c r="I33" s="334">
        <v>8.166846590140403E-2</v>
      </c>
      <c r="J33" s="334">
        <v>0.54912717099735286</v>
      </c>
      <c r="K33" s="334">
        <v>5.2913000000000002E-2</v>
      </c>
      <c r="L33" s="334">
        <v>0.17659871231529634</v>
      </c>
      <c r="M33" s="334">
        <v>7.4254195735004858E-2</v>
      </c>
      <c r="N33" s="335">
        <v>2.2998509103087397</v>
      </c>
      <c r="O33" s="335">
        <v>3.7006750073018577</v>
      </c>
      <c r="P33" s="335">
        <v>15.613078673514586</v>
      </c>
      <c r="Q33" s="335">
        <v>24.826655138317854</v>
      </c>
      <c r="R33" s="335">
        <v>6.5854585239845767</v>
      </c>
      <c r="S33" s="335">
        <v>66.549565880564558</v>
      </c>
      <c r="T33" s="334">
        <v>0.10038718406730843</v>
      </c>
      <c r="U33" s="334">
        <v>8.2781748386851595E-2</v>
      </c>
      <c r="V33" s="334">
        <v>0.13438402949754219</v>
      </c>
      <c r="W33" s="334">
        <v>1.2140192826751521</v>
      </c>
      <c r="X33" s="334">
        <v>0.19738295948691939</v>
      </c>
      <c r="Y33" s="334">
        <v>0.39802382617858456</v>
      </c>
      <c r="Z33" s="334">
        <v>0.39802382617858456</v>
      </c>
      <c r="AA33" s="336">
        <v>0.14853081408122104</v>
      </c>
    </row>
    <row r="34" spans="1:27" ht="14">
      <c r="A34" s="247" t="s">
        <v>667</v>
      </c>
      <c r="B34" s="333">
        <v>35</v>
      </c>
      <c r="C34" s="334">
        <v>0.14021952380952382</v>
      </c>
      <c r="D34" s="334">
        <v>5.4453187039127465E-2</v>
      </c>
      <c r="E34" s="334">
        <v>7.277942934792668E-2</v>
      </c>
      <c r="F34" s="334">
        <v>0.20340963331647635</v>
      </c>
      <c r="G34" s="335">
        <v>0.8457836746022086</v>
      </c>
      <c r="H34" s="335">
        <v>1.1291737409456368</v>
      </c>
      <c r="I34" s="334">
        <v>8.9861148846175409E-2</v>
      </c>
      <c r="J34" s="334">
        <v>0.50793815806648301</v>
      </c>
      <c r="K34" s="334">
        <v>5.2913000000000002E-2</v>
      </c>
      <c r="L34" s="334">
        <v>0.3414488697161519</v>
      </c>
      <c r="M34" s="334">
        <v>7.2728474173721983E-2</v>
      </c>
      <c r="N34" s="335">
        <v>1.4794345612246376</v>
      </c>
      <c r="O34" s="335">
        <v>1.3401504823361046</v>
      </c>
      <c r="P34" s="335">
        <v>16.037699474903555</v>
      </c>
      <c r="Q34" s="335">
        <v>23.735676346471841</v>
      </c>
      <c r="R34" s="335">
        <v>2.4228669519202914</v>
      </c>
      <c r="S34" s="335">
        <v>19.115989413055647</v>
      </c>
      <c r="T34" s="334">
        <v>0.17273412165746987</v>
      </c>
      <c r="U34" s="334">
        <v>3.8437684702374866E-2</v>
      </c>
      <c r="V34" s="334">
        <v>3.6581592995301671E-2</v>
      </c>
      <c r="W34" s="334">
        <v>0.52612188712009167</v>
      </c>
      <c r="X34" s="334">
        <v>0.1204025921309046</v>
      </c>
      <c r="Y34" s="334">
        <v>0.41442187289793142</v>
      </c>
      <c r="Z34" s="334">
        <v>0.41442187289793142</v>
      </c>
      <c r="AA34" s="336">
        <v>5.6033712404227685E-2</v>
      </c>
    </row>
    <row r="35" spans="1:27" ht="14">
      <c r="A35" s="247" t="s">
        <v>668</v>
      </c>
      <c r="B35" s="333">
        <v>176</v>
      </c>
      <c r="C35" s="334">
        <v>0.11297944444444441</v>
      </c>
      <c r="D35" s="334">
        <v>0.18483867439249571</v>
      </c>
      <c r="E35" s="334" t="s">
        <v>93</v>
      </c>
      <c r="F35" s="334">
        <v>0.19308570373525116</v>
      </c>
      <c r="G35" s="335">
        <v>0.32770838684759396</v>
      </c>
      <c r="H35" s="335">
        <v>0.96971324274449078</v>
      </c>
      <c r="I35" s="334">
        <v>8.2749210626404293E-2</v>
      </c>
      <c r="J35" s="334">
        <v>0.42469192147740364</v>
      </c>
      <c r="K35" s="334">
        <v>5.0672000000000002E-2</v>
      </c>
      <c r="L35" s="334">
        <v>0.7312766809789597</v>
      </c>
      <c r="M35" s="334">
        <v>5.0028081509822887E-2</v>
      </c>
      <c r="N35" s="335">
        <v>7.0855845569848253E-2</v>
      </c>
      <c r="O35" s="335">
        <v>18.905905176324399</v>
      </c>
      <c r="P35" s="335">
        <v>57.523559733661109</v>
      </c>
      <c r="Q35" s="335">
        <v>69.396370817876203</v>
      </c>
      <c r="R35" s="335">
        <v>3.6609227769089809</v>
      </c>
      <c r="S35" s="335">
        <v>26.138389654542657</v>
      </c>
      <c r="T35" s="334">
        <v>11.85998591816597</v>
      </c>
      <c r="U35" s="334">
        <v>2.9854628668958192E-2</v>
      </c>
      <c r="V35" s="334">
        <v>2.380286567733603E-2</v>
      </c>
      <c r="W35" s="334">
        <v>0.14141047544330232</v>
      </c>
      <c r="X35" s="334">
        <v>0.28817318153849353</v>
      </c>
      <c r="Y35" s="334">
        <v>0.1852408141048518</v>
      </c>
      <c r="Z35" s="334">
        <v>0.18524081410485183</v>
      </c>
      <c r="AA35" s="336">
        <v>0.18739294401118736</v>
      </c>
    </row>
    <row r="36" spans="1:27" ht="14">
      <c r="A36" s="247" t="s">
        <v>669</v>
      </c>
      <c r="B36" s="333">
        <v>78</v>
      </c>
      <c r="C36" s="334">
        <v>7.1580217391304352E-2</v>
      </c>
      <c r="D36" s="334">
        <v>0.10630698109862798</v>
      </c>
      <c r="E36" s="334">
        <v>0.15949707214923414</v>
      </c>
      <c r="F36" s="334">
        <v>0.22809725267257513</v>
      </c>
      <c r="G36" s="335">
        <v>0.46942377677075875</v>
      </c>
      <c r="H36" s="335">
        <v>0.60745303780035831</v>
      </c>
      <c r="I36" s="334">
        <v>6.6592405485895984E-2</v>
      </c>
      <c r="J36" s="334">
        <v>0.4346763943257051</v>
      </c>
      <c r="K36" s="334">
        <v>5.0672000000000002E-2</v>
      </c>
      <c r="L36" s="334">
        <v>0.30426970041045764</v>
      </c>
      <c r="M36" s="334">
        <v>5.7893819913489727E-2</v>
      </c>
      <c r="N36" s="335">
        <v>1.7091989611020568</v>
      </c>
      <c r="O36" s="335">
        <v>1.4683157254855188</v>
      </c>
      <c r="P36" s="335">
        <v>10.01197493847315</v>
      </c>
      <c r="Q36" s="335">
        <v>13.605211290558298</v>
      </c>
      <c r="R36" s="335">
        <v>1.7958937888478672</v>
      </c>
      <c r="S36" s="335">
        <v>47.968126344132195</v>
      </c>
      <c r="T36" s="334">
        <v>6.6773491837427895E-2</v>
      </c>
      <c r="U36" s="334">
        <v>3.3009560120217475E-2</v>
      </c>
      <c r="V36" s="334">
        <v>2.2866939296630175E-2</v>
      </c>
      <c r="W36" s="334">
        <v>0.32772573048836728</v>
      </c>
      <c r="X36" s="334">
        <v>4.6041192044067668E-2</v>
      </c>
      <c r="Y36" s="334">
        <v>1.4311110049852744</v>
      </c>
      <c r="Z36" s="334">
        <v>1.4311110049852744</v>
      </c>
      <c r="AA36" s="336">
        <v>0.10737650905057096</v>
      </c>
    </row>
    <row r="37" spans="1:27" ht="14">
      <c r="A37" s="247" t="s">
        <v>670</v>
      </c>
      <c r="B37" s="333">
        <v>13</v>
      </c>
      <c r="C37" s="334">
        <v>0.13276666666666667</v>
      </c>
      <c r="D37" s="334">
        <v>2.6134886467402488E-2</v>
      </c>
      <c r="E37" s="334">
        <v>0.17837019301943033</v>
      </c>
      <c r="F37" s="334">
        <v>0.23676102795546677</v>
      </c>
      <c r="G37" s="335">
        <v>0.64775981416785178</v>
      </c>
      <c r="H37" s="335">
        <v>0.86664163865866495</v>
      </c>
      <c r="I37" s="334">
        <v>7.8152217084176467E-2</v>
      </c>
      <c r="J37" s="334">
        <v>0.33978224154359921</v>
      </c>
      <c r="K37" s="334">
        <v>5.0672000000000002E-2</v>
      </c>
      <c r="L37" s="334">
        <v>0.31958232466907338</v>
      </c>
      <c r="M37" s="334">
        <v>6.5321556537096745E-2</v>
      </c>
      <c r="N37" s="335">
        <v>7.7129095873177826</v>
      </c>
      <c r="O37" s="335">
        <v>0.45685204851364397</v>
      </c>
      <c r="P37" s="335">
        <v>11.075252232041779</v>
      </c>
      <c r="Q37" s="335">
        <v>17.944483002972046</v>
      </c>
      <c r="R37" s="335">
        <v>4.8785548261225644</v>
      </c>
      <c r="S37" s="335">
        <v>26.802893083591172</v>
      </c>
      <c r="T37" s="334">
        <v>5.6230030407039285E-2</v>
      </c>
      <c r="U37" s="334">
        <v>1.0065459071835552E-2</v>
      </c>
      <c r="V37" s="334">
        <v>1.5039535872963999E-2</v>
      </c>
      <c r="W37" s="334">
        <v>0.81337780169340068</v>
      </c>
      <c r="X37" s="334">
        <v>0.18220724511066666</v>
      </c>
      <c r="Y37" s="334">
        <v>0.3807473643539217</v>
      </c>
      <c r="Z37" s="334">
        <v>0.38074736435392165</v>
      </c>
      <c r="AA37" s="336">
        <v>2.5456148145276011E-2</v>
      </c>
    </row>
    <row r="38" spans="1:27" ht="14">
      <c r="A38" s="247" t="s">
        <v>671</v>
      </c>
      <c r="B38" s="333">
        <v>27</v>
      </c>
      <c r="C38" s="334">
        <v>9.8738095238095278E-3</v>
      </c>
      <c r="D38" s="334">
        <v>6.5856618584879817E-2</v>
      </c>
      <c r="E38" s="334">
        <v>0.10587428912659751</v>
      </c>
      <c r="F38" s="334">
        <v>0.29077657389467731</v>
      </c>
      <c r="G38" s="335">
        <v>0.65213037044009325</v>
      </c>
      <c r="H38" s="335">
        <v>0.82315847400170816</v>
      </c>
      <c r="I38" s="334">
        <v>7.6212867940476187E-2</v>
      </c>
      <c r="J38" s="334">
        <v>0.51509862739811807</v>
      </c>
      <c r="K38" s="334">
        <v>5.2913000000000002E-2</v>
      </c>
      <c r="L38" s="334">
        <v>0.2974240911279325</v>
      </c>
      <c r="M38" s="334">
        <v>6.5348525661416135E-2</v>
      </c>
      <c r="N38" s="335">
        <v>1.958544127171312</v>
      </c>
      <c r="O38" s="335">
        <v>1.3327990096564892</v>
      </c>
      <c r="P38" s="335">
        <v>11.273819550114272</v>
      </c>
      <c r="Q38" s="335">
        <v>19.14514049519137</v>
      </c>
      <c r="R38" s="335">
        <v>2.4531884993342641</v>
      </c>
      <c r="S38" s="335">
        <v>17.383524683950618</v>
      </c>
      <c r="T38" s="334">
        <v>0.15730316848237935</v>
      </c>
      <c r="U38" s="334">
        <v>2.4513853848001466E-2</v>
      </c>
      <c r="V38" s="334">
        <v>5.8771048892976907E-2</v>
      </c>
      <c r="W38" s="334">
        <v>1.400632775995067</v>
      </c>
      <c r="X38" s="334">
        <v>3.1074150773032081E-2</v>
      </c>
      <c r="Y38" s="334">
        <v>1.0812222088995695</v>
      </c>
      <c r="Z38" s="334">
        <v>1.0812222088995695</v>
      </c>
      <c r="AA38" s="336">
        <v>6.7999744199474313E-2</v>
      </c>
    </row>
    <row r="39" spans="1:27" ht="14">
      <c r="A39" s="247" t="s">
        <v>502</v>
      </c>
      <c r="B39" s="333">
        <v>15</v>
      </c>
      <c r="C39" s="334">
        <v>0.17101999999999998</v>
      </c>
      <c r="D39" s="334">
        <v>0.19872603268162603</v>
      </c>
      <c r="E39" s="334">
        <v>3.6367416094179386E-2</v>
      </c>
      <c r="F39" s="334">
        <v>0</v>
      </c>
      <c r="G39" s="335">
        <v>0.47228416765361608</v>
      </c>
      <c r="H39" s="335">
        <v>0.8563295187054536</v>
      </c>
      <c r="I39" s="334">
        <v>7.7692296534263239E-2</v>
      </c>
      <c r="J39" s="334">
        <v>0.6514340075377375</v>
      </c>
      <c r="K39" s="334">
        <v>6.0194999999999999E-2</v>
      </c>
      <c r="L39" s="334">
        <v>0.53075789820239361</v>
      </c>
      <c r="M39" s="334">
        <v>6.0418225280940388E-2</v>
      </c>
      <c r="N39" s="335">
        <v>0.19799484289124869</v>
      </c>
      <c r="O39" s="335">
        <v>7.8656929695991451</v>
      </c>
      <c r="P39" s="335">
        <v>13.443716808217077</v>
      </c>
      <c r="Q39" s="335">
        <v>42.625568373279656</v>
      </c>
      <c r="R39" s="335">
        <v>1.2628660112733221</v>
      </c>
      <c r="S39" s="335">
        <v>32.249593953023492</v>
      </c>
      <c r="T39" s="334">
        <v>-1.1429114741297663</v>
      </c>
      <c r="U39" s="334">
        <v>0.31895685377569488</v>
      </c>
      <c r="V39" s="334">
        <v>9.0073723118509391E-2</v>
      </c>
      <c r="W39" s="334">
        <v>0.63819613222831428</v>
      </c>
      <c r="X39" s="334">
        <v>-7.357137161316149E-2</v>
      </c>
      <c r="Y39" s="334">
        <v>1.2899800099950027E-3</v>
      </c>
      <c r="Z39" s="334">
        <v>1.2899800099950287E-3</v>
      </c>
      <c r="AA39" s="336">
        <v>0.18379736920400169</v>
      </c>
    </row>
    <row r="40" spans="1:27" ht="14">
      <c r="A40" s="247" t="s">
        <v>672</v>
      </c>
      <c r="B40" s="333">
        <v>204</v>
      </c>
      <c r="C40" s="334">
        <v>0.18410674796747967</v>
      </c>
      <c r="D40" s="334">
        <v>0.15338997022486925</v>
      </c>
      <c r="E40" s="334">
        <v>0.16980778635574598</v>
      </c>
      <c r="F40" s="334">
        <v>0.12774023706720808</v>
      </c>
      <c r="G40" s="335">
        <v>0.85694779586615211</v>
      </c>
      <c r="H40" s="335">
        <v>0.9085611350704943</v>
      </c>
      <c r="I40" s="334">
        <v>8.0021826624144046E-2</v>
      </c>
      <c r="J40" s="334">
        <v>0.61790589954129371</v>
      </c>
      <c r="K40" s="334">
        <v>5.2913000000000002E-2</v>
      </c>
      <c r="L40" s="334">
        <v>0.11335851795439207</v>
      </c>
      <c r="M40" s="334">
        <v>7.5449275399418328E-2</v>
      </c>
      <c r="N40" s="335">
        <v>1.476950489760035</v>
      </c>
      <c r="O40" s="335">
        <v>4.762600760397512</v>
      </c>
      <c r="P40" s="335">
        <v>19.778036576870928</v>
      </c>
      <c r="Q40" s="335">
        <v>29.989275458843494</v>
      </c>
      <c r="R40" s="335">
        <v>4.4351038092908013</v>
      </c>
      <c r="S40" s="335">
        <v>43.065162700298238</v>
      </c>
      <c r="T40" s="334">
        <v>0.25652591525599155</v>
      </c>
      <c r="U40" s="334">
        <v>3.9885897606862952E-2</v>
      </c>
      <c r="V40" s="334">
        <v>4.5266300529700154E-2</v>
      </c>
      <c r="W40" s="334">
        <v>0.45993629154938714</v>
      </c>
      <c r="X40" s="334">
        <v>0.11260003642281874</v>
      </c>
      <c r="Y40" s="334">
        <v>0.35640707755437773</v>
      </c>
      <c r="Z40" s="334">
        <v>0.35640707755437773</v>
      </c>
      <c r="AA40" s="336">
        <v>0.15829837169296193</v>
      </c>
    </row>
    <row r="41" spans="1:27" ht="14">
      <c r="A41" s="247" t="s">
        <v>673</v>
      </c>
      <c r="B41" s="333">
        <v>104</v>
      </c>
      <c r="C41" s="334">
        <v>0.13121750000000001</v>
      </c>
      <c r="D41" s="334">
        <v>2.9984058788044197E-2</v>
      </c>
      <c r="E41" s="334">
        <v>0.31192966548467982</v>
      </c>
      <c r="F41" s="334">
        <v>0.2299540044260435</v>
      </c>
      <c r="G41" s="335">
        <v>0.74487505747396876</v>
      </c>
      <c r="H41" s="335">
        <v>0.87195388733993329</v>
      </c>
      <c r="I41" s="334">
        <v>7.8389143375361028E-2</v>
      </c>
      <c r="J41" s="334">
        <v>0.47240032307194035</v>
      </c>
      <c r="K41" s="334">
        <v>5.2913000000000002E-2</v>
      </c>
      <c r="L41" s="334">
        <v>0.26158564118361594</v>
      </c>
      <c r="M41" s="334">
        <v>6.8264629817644321E-2</v>
      </c>
      <c r="N41" s="335">
        <v>11.746627443364762</v>
      </c>
      <c r="O41" s="335">
        <v>0.45778331362617514</v>
      </c>
      <c r="P41" s="335">
        <v>11.16882502236794</v>
      </c>
      <c r="Q41" s="335">
        <v>15.022049555900349</v>
      </c>
      <c r="R41" s="335">
        <v>2.7955721569283822</v>
      </c>
      <c r="S41" s="335">
        <v>83.766608826166504</v>
      </c>
      <c r="T41" s="334">
        <v>-5.7878368023873188E-2</v>
      </c>
      <c r="U41" s="334">
        <v>5.6454073820381432E-3</v>
      </c>
      <c r="V41" s="334">
        <v>8.6568477267626506E-3</v>
      </c>
      <c r="W41" s="334">
        <v>0.50714607186385319</v>
      </c>
      <c r="X41" s="334">
        <v>9.8917912885418971E-2</v>
      </c>
      <c r="Y41" s="334">
        <v>0.49369259969710388</v>
      </c>
      <c r="Z41" s="334">
        <v>0.49369259969710388</v>
      </c>
      <c r="AA41" s="336">
        <v>3.0052870426871388E-2</v>
      </c>
    </row>
    <row r="42" spans="1:27" ht="14">
      <c r="A42" s="247" t="s">
        <v>674</v>
      </c>
      <c r="B42" s="333">
        <v>115</v>
      </c>
      <c r="C42" s="334">
        <v>0.15573530303030306</v>
      </c>
      <c r="D42" s="334">
        <v>0.14709485588235541</v>
      </c>
      <c r="E42" s="334">
        <v>0.13716783348113318</v>
      </c>
      <c r="F42" s="334">
        <v>0.15096664971111606</v>
      </c>
      <c r="G42" s="335">
        <v>1.0163250326283351</v>
      </c>
      <c r="H42" s="335">
        <v>1.1083338991481437</v>
      </c>
      <c r="I42" s="334">
        <v>8.8931691902007212E-2</v>
      </c>
      <c r="J42" s="334">
        <v>0.63780021224444727</v>
      </c>
      <c r="K42" s="334">
        <v>5.2913000000000002E-2</v>
      </c>
      <c r="L42" s="334">
        <v>0.13600450035059872</v>
      </c>
      <c r="M42" s="334">
        <v>8.2233886174829754E-2</v>
      </c>
      <c r="N42" s="335">
        <v>1.2456990696967301</v>
      </c>
      <c r="O42" s="335">
        <v>5.3091884213580105</v>
      </c>
      <c r="P42" s="335">
        <v>21.272127158112443</v>
      </c>
      <c r="Q42" s="335">
        <v>34.762160796037399</v>
      </c>
      <c r="R42" s="335">
        <v>4.002238560460353</v>
      </c>
      <c r="S42" s="335">
        <v>506.54686870211623</v>
      </c>
      <c r="T42" s="334">
        <v>0.23527585900259143</v>
      </c>
      <c r="U42" s="334">
        <v>3.8932629085333681E-2</v>
      </c>
      <c r="V42" s="334">
        <v>9.2157948245841573E-3</v>
      </c>
      <c r="W42" s="334">
        <v>0.12116668188545907</v>
      </c>
      <c r="X42" s="334">
        <v>6.397363703274217E-2</v>
      </c>
      <c r="Y42" s="334">
        <v>0.16849318863551691</v>
      </c>
      <c r="Z42" s="334">
        <v>0.16849318863551688</v>
      </c>
      <c r="AA42" s="336">
        <v>0.14794312196370288</v>
      </c>
    </row>
    <row r="43" spans="1:27" ht="14">
      <c r="A43" s="247" t="s">
        <v>675</v>
      </c>
      <c r="B43" s="333">
        <v>30</v>
      </c>
      <c r="C43" s="334">
        <v>9.8721739130434791E-2</v>
      </c>
      <c r="D43" s="334">
        <v>0.12574952723040009</v>
      </c>
      <c r="E43" s="334">
        <v>0.14908128793492281</v>
      </c>
      <c r="F43" s="334">
        <v>0.23671663798303069</v>
      </c>
      <c r="G43" s="335">
        <v>0.85322307987439294</v>
      </c>
      <c r="H43" s="335">
        <v>0.91061781327488456</v>
      </c>
      <c r="I43" s="334">
        <v>8.0113554472059853E-2</v>
      </c>
      <c r="J43" s="334">
        <v>0.32794046675316896</v>
      </c>
      <c r="K43" s="334">
        <v>5.0672000000000002E-2</v>
      </c>
      <c r="L43" s="334">
        <v>0.17589764695236668</v>
      </c>
      <c r="M43" s="334">
        <v>7.2706582926212016E-2</v>
      </c>
      <c r="N43" s="335">
        <v>1.4215189273359097</v>
      </c>
      <c r="O43" s="335">
        <v>1.1916269386724603</v>
      </c>
      <c r="P43" s="335">
        <v>8.918125636141264</v>
      </c>
      <c r="Q43" s="335">
        <v>9.4319205047433528</v>
      </c>
      <c r="R43" s="335">
        <v>1.6330949800418872</v>
      </c>
      <c r="S43" s="335">
        <v>11.453496315687763</v>
      </c>
      <c r="T43" s="334">
        <v>0.61646351023604773</v>
      </c>
      <c r="U43" s="334">
        <v>4.8812504532081448E-3</v>
      </c>
      <c r="V43" s="334">
        <v>6.8278514674606407E-3</v>
      </c>
      <c r="W43" s="334">
        <v>0.31028811699328951</v>
      </c>
      <c r="X43" s="334">
        <v>0.14231430358554786</v>
      </c>
      <c r="Y43" s="334">
        <v>9.5721885888833347E-2</v>
      </c>
      <c r="Z43" s="334">
        <v>9.5721885888833347E-2</v>
      </c>
      <c r="AA43" s="336">
        <v>0.12633855565477978</v>
      </c>
    </row>
    <row r="44" spans="1:27" ht="14">
      <c r="A44" s="247" t="s">
        <v>676</v>
      </c>
      <c r="B44" s="333">
        <v>31</v>
      </c>
      <c r="C44" s="334">
        <v>0.15944588235294119</v>
      </c>
      <c r="D44" s="334">
        <v>0.13356558024682816</v>
      </c>
      <c r="E44" s="334">
        <v>0.22163970318779982</v>
      </c>
      <c r="F44" s="334">
        <v>0.21328220431949529</v>
      </c>
      <c r="G44" s="335">
        <v>0.56485887182878791</v>
      </c>
      <c r="H44" s="335">
        <v>0.79967833140276245</v>
      </c>
      <c r="I44" s="334">
        <v>7.5165653580563208E-2</v>
      </c>
      <c r="J44" s="334">
        <v>0.56456947375556776</v>
      </c>
      <c r="K44" s="334">
        <v>5.2913000000000002E-2</v>
      </c>
      <c r="L44" s="334">
        <v>0.3746888451798786</v>
      </c>
      <c r="M44" s="334">
        <v>6.187135479202336E-2</v>
      </c>
      <c r="N44" s="335">
        <v>1.9503085156367479</v>
      </c>
      <c r="O44" s="335">
        <v>1.6887450167827869</v>
      </c>
      <c r="P44" s="335">
        <v>8.8640214167450289</v>
      </c>
      <c r="Q44" s="335">
        <v>13.11546361352196</v>
      </c>
      <c r="R44" s="335">
        <v>5.6227362925153948</v>
      </c>
      <c r="S44" s="335">
        <v>18.804233489397635</v>
      </c>
      <c r="T44" s="334">
        <v>0.10483507614543777</v>
      </c>
      <c r="U44" s="334">
        <v>5.9521580895329086E-2</v>
      </c>
      <c r="V44" s="334">
        <v>2.9611844166866057E-2</v>
      </c>
      <c r="W44" s="334">
        <v>0.33909534063860475</v>
      </c>
      <c r="X44" s="334">
        <v>0.50836280281543411</v>
      </c>
      <c r="Y44" s="334">
        <v>9.3353831750772887E-2</v>
      </c>
      <c r="Z44" s="334">
        <v>9.3353831750772942E-2</v>
      </c>
      <c r="AA44" s="336">
        <v>0.12855319636010312</v>
      </c>
    </row>
    <row r="45" spans="1:27" ht="14">
      <c r="A45" s="247" t="s">
        <v>677</v>
      </c>
      <c r="B45" s="333">
        <v>63</v>
      </c>
      <c r="C45" s="334">
        <v>0.21817099999999992</v>
      </c>
      <c r="D45" s="334">
        <v>0.19387993488144581</v>
      </c>
      <c r="E45" s="334">
        <v>0.14575119045322596</v>
      </c>
      <c r="F45" s="334">
        <v>0.16615162394642624</v>
      </c>
      <c r="G45" s="335">
        <v>0.87568844277975555</v>
      </c>
      <c r="H45" s="335">
        <v>1.0803675683074194</v>
      </c>
      <c r="I45" s="334">
        <v>8.7684393546510905E-2</v>
      </c>
      <c r="J45" s="334">
        <v>0.39653351969812761</v>
      </c>
      <c r="K45" s="334">
        <v>5.0672000000000002E-2</v>
      </c>
      <c r="L45" s="334">
        <v>0.28443753198625027</v>
      </c>
      <c r="M45" s="334">
        <v>7.3553425018035717E-2</v>
      </c>
      <c r="N45" s="335">
        <v>1.0398999558513293</v>
      </c>
      <c r="O45" s="335">
        <v>4.3270761423895658</v>
      </c>
      <c r="P45" s="335">
        <v>14.932670744376049</v>
      </c>
      <c r="Q45" s="335">
        <v>25.710681771598953</v>
      </c>
      <c r="R45" s="335">
        <v>12.303472671975985</v>
      </c>
      <c r="S45" s="335">
        <v>46.603339458991762</v>
      </c>
      <c r="T45" s="334">
        <v>7.6629538967434921E-3</v>
      </c>
      <c r="U45" s="334">
        <v>7.3417001650355584E-2</v>
      </c>
      <c r="V45" s="334">
        <v>2.5178245295240296E-2</v>
      </c>
      <c r="W45" s="334">
        <v>0.25374823288320641</v>
      </c>
      <c r="X45" s="334">
        <v>0.45383267360208451</v>
      </c>
      <c r="Y45" s="334">
        <v>0.18280476639398149</v>
      </c>
      <c r="Z45" s="334">
        <v>0.18280476639398147</v>
      </c>
      <c r="AA45" s="336">
        <v>0.16594541867983212</v>
      </c>
    </row>
    <row r="46" spans="1:27" ht="14">
      <c r="A46" s="247" t="s">
        <v>678</v>
      </c>
      <c r="B46" s="333">
        <v>110</v>
      </c>
      <c r="C46" s="334">
        <v>8.0873829787234064E-2</v>
      </c>
      <c r="D46" s="334">
        <v>0.1862488237477741</v>
      </c>
      <c r="E46" s="334">
        <v>0.34419837512001855</v>
      </c>
      <c r="F46" s="334">
        <v>0.20731495457637963</v>
      </c>
      <c r="G46" s="335">
        <v>0.74107692870974939</v>
      </c>
      <c r="H46" s="335">
        <v>0.81551582513241538</v>
      </c>
      <c r="I46" s="334">
        <v>7.5872005800905723E-2</v>
      </c>
      <c r="J46" s="334">
        <v>0.55463786398065251</v>
      </c>
      <c r="K46" s="334">
        <v>5.2913000000000002E-2</v>
      </c>
      <c r="L46" s="334">
        <v>0.15360129208720896</v>
      </c>
      <c r="M46" s="334">
        <v>7.0313596552796245E-2</v>
      </c>
      <c r="N46" s="335">
        <v>2.2144292627404347</v>
      </c>
      <c r="O46" s="335">
        <v>3.0594681487260349</v>
      </c>
      <c r="P46" s="335">
        <v>13.173520164126762</v>
      </c>
      <c r="Q46" s="335">
        <v>16.254913254213282</v>
      </c>
      <c r="R46" s="335">
        <v>5.8470900558504706</v>
      </c>
      <c r="S46" s="335">
        <v>33.071795886517144</v>
      </c>
      <c r="T46" s="334">
        <v>6.0060837883944382E-2</v>
      </c>
      <c r="U46" s="334">
        <v>3.7914432240721573E-2</v>
      </c>
      <c r="V46" s="334">
        <v>1.1319961336635119E-2</v>
      </c>
      <c r="W46" s="334">
        <v>7.7576409894996021E-2</v>
      </c>
      <c r="X46" s="334">
        <v>0.27021197239353523</v>
      </c>
      <c r="Y46" s="334">
        <v>0.67246273715306815</v>
      </c>
      <c r="Z46" s="334">
        <v>0.67246273715306815</v>
      </c>
      <c r="AA46" s="336">
        <v>0.18810977498421766</v>
      </c>
    </row>
    <row r="47" spans="1:27" ht="14">
      <c r="A47" s="247" t="s">
        <v>679</v>
      </c>
      <c r="B47" s="333">
        <v>15</v>
      </c>
      <c r="C47" s="334">
        <v>6.7709090909090913E-2</v>
      </c>
      <c r="D47" s="334">
        <v>0.11886021643397382</v>
      </c>
      <c r="E47" s="334">
        <v>0.22174300421939269</v>
      </c>
      <c r="F47" s="334">
        <v>0.21739341477226753</v>
      </c>
      <c r="G47" s="335">
        <v>0.75635635759716424</v>
      </c>
      <c r="H47" s="335">
        <v>0.92056732348508041</v>
      </c>
      <c r="I47" s="334">
        <v>8.0557302627434588E-2</v>
      </c>
      <c r="J47" s="334">
        <v>0.32375244548022786</v>
      </c>
      <c r="K47" s="334">
        <v>5.0672000000000002E-2</v>
      </c>
      <c r="L47" s="334">
        <v>0.24907927198165059</v>
      </c>
      <c r="M47" s="334">
        <v>6.9958156988578324E-2</v>
      </c>
      <c r="N47" s="335">
        <v>2.5121429063366998</v>
      </c>
      <c r="O47" s="335">
        <v>2.2125353891144477</v>
      </c>
      <c r="P47" s="335">
        <v>11.498322009159963</v>
      </c>
      <c r="Q47" s="335">
        <v>17.766516582087498</v>
      </c>
      <c r="R47" s="335">
        <v>3.7949389473221435</v>
      </c>
      <c r="S47" s="335">
        <v>24.917027503636273</v>
      </c>
      <c r="T47" s="334">
        <v>0.16621255356543385</v>
      </c>
      <c r="U47" s="334">
        <v>1.9042141432492742E-2</v>
      </c>
      <c r="V47" s="334">
        <v>-2.8717169572858893E-2</v>
      </c>
      <c r="W47" s="334">
        <v>-0.26789020889658832</v>
      </c>
      <c r="X47" s="334">
        <v>0.149460900440439</v>
      </c>
      <c r="Y47" s="334">
        <v>0.32067334972574241</v>
      </c>
      <c r="Z47" s="334">
        <v>0.32067334972574235</v>
      </c>
      <c r="AA47" s="336">
        <v>0.12471997049954972</v>
      </c>
    </row>
    <row r="48" spans="1:27" ht="14">
      <c r="A48" s="247" t="s">
        <v>680</v>
      </c>
      <c r="B48" s="333">
        <v>21</v>
      </c>
      <c r="C48" s="334">
        <v>0.11827769230769231</v>
      </c>
      <c r="D48" s="334">
        <v>0.21312825642510547</v>
      </c>
      <c r="E48" s="334">
        <v>0.44506099588263831</v>
      </c>
      <c r="F48" s="334">
        <v>0.22319671990341941</v>
      </c>
      <c r="G48" s="335">
        <v>0.57807242620462518</v>
      </c>
      <c r="H48" s="335">
        <v>0.67197504224081062</v>
      </c>
      <c r="I48" s="334">
        <v>6.9470086883940158E-2</v>
      </c>
      <c r="J48" s="334">
        <v>0.46070163153831001</v>
      </c>
      <c r="K48" s="334">
        <v>5.2913000000000002E-2</v>
      </c>
      <c r="L48" s="334">
        <v>0.20399666009576656</v>
      </c>
      <c r="M48" s="334">
        <v>6.3393977639789129E-2</v>
      </c>
      <c r="N48" s="335">
        <v>2.4099775661530343</v>
      </c>
      <c r="O48" s="335">
        <v>4.3240476028818051</v>
      </c>
      <c r="P48" s="335">
        <v>15.757904857302774</v>
      </c>
      <c r="Q48" s="335">
        <v>20.099906084076959</v>
      </c>
      <c r="R48" s="335">
        <v>3.451731948410647</v>
      </c>
      <c r="S48" s="335">
        <v>33.964475083861473</v>
      </c>
      <c r="T48" s="334">
        <v>0.26538097870436145</v>
      </c>
      <c r="U48" s="334">
        <v>1.1376538822641643E-2</v>
      </c>
      <c r="V48" s="334">
        <v>0.55043013152930231</v>
      </c>
      <c r="W48" s="334">
        <v>3.2420725392081522</v>
      </c>
      <c r="X48" s="334">
        <v>0.19071656336250301</v>
      </c>
      <c r="Y48" s="334">
        <v>0.36642209747867588</v>
      </c>
      <c r="Z48" s="334">
        <v>0.36642209747867582</v>
      </c>
      <c r="AA48" s="336">
        <v>0.21456995593877076</v>
      </c>
    </row>
    <row r="49" spans="1:27" ht="14">
      <c r="A49" s="247" t="s">
        <v>681</v>
      </c>
      <c r="B49" s="333">
        <v>20</v>
      </c>
      <c r="C49" s="334">
        <v>2.5189999999999997E-2</v>
      </c>
      <c r="D49" s="334">
        <v>0.10613219864364459</v>
      </c>
      <c r="E49" s="334">
        <v>0.1076576568830416</v>
      </c>
      <c r="F49" s="334">
        <v>0.18676810125741239</v>
      </c>
      <c r="G49" s="335">
        <v>0.53174800652757681</v>
      </c>
      <c r="H49" s="335">
        <v>0.64449309251802667</v>
      </c>
      <c r="I49" s="334">
        <v>6.8244391926303993E-2</v>
      </c>
      <c r="J49" s="334">
        <v>0.35151934226314591</v>
      </c>
      <c r="K49" s="334">
        <v>5.0672000000000002E-2</v>
      </c>
      <c r="L49" s="334">
        <v>0.40419403701823831</v>
      </c>
      <c r="M49" s="334">
        <v>5.6021405832597446E-2</v>
      </c>
      <c r="N49" s="335">
        <v>1.1921280841591642</v>
      </c>
      <c r="O49" s="335">
        <v>1.2838249224747278</v>
      </c>
      <c r="P49" s="335">
        <v>12.522466672718679</v>
      </c>
      <c r="Q49" s="335">
        <v>11.695609541397138</v>
      </c>
      <c r="R49" s="335">
        <v>1.4341165046725473</v>
      </c>
      <c r="S49" s="335">
        <v>12.557446866578934</v>
      </c>
      <c r="T49" s="334">
        <v>0.23166860230403027</v>
      </c>
      <c r="U49" s="334">
        <v>1.7235710892871798E-3</v>
      </c>
      <c r="V49" s="334">
        <v>3.1746773868646908E-3</v>
      </c>
      <c r="W49" s="334">
        <v>5.3138640308018598E-2</v>
      </c>
      <c r="X49" s="334">
        <v>0.12873529635151773</v>
      </c>
      <c r="Y49" s="334">
        <v>0.3360679830191276</v>
      </c>
      <c r="Z49" s="334">
        <v>0.33606798301912755</v>
      </c>
      <c r="AA49" s="336">
        <v>0.10647669164266632</v>
      </c>
    </row>
    <row r="50" spans="1:27" ht="14">
      <c r="A50" s="247" t="s">
        <v>682</v>
      </c>
      <c r="B50" s="333">
        <v>57</v>
      </c>
      <c r="C50" s="334">
        <v>8.764183673469389E-2</v>
      </c>
      <c r="D50" s="334">
        <v>0.15254114570116309</v>
      </c>
      <c r="E50" s="334">
        <v>0.18488979223477825</v>
      </c>
      <c r="F50" s="334">
        <v>0.21588899745664292</v>
      </c>
      <c r="G50" s="335">
        <v>0.45702349492314559</v>
      </c>
      <c r="H50" s="335">
        <v>0.48411001512890489</v>
      </c>
      <c r="I50" s="334">
        <v>6.1091306674749157E-2</v>
      </c>
      <c r="J50" s="334">
        <v>0.28696879528535113</v>
      </c>
      <c r="K50" s="334">
        <v>4.7306000000000001E-2</v>
      </c>
      <c r="L50" s="334">
        <v>0.12914202889948714</v>
      </c>
      <c r="M50" s="334">
        <v>5.7783745996990626E-2</v>
      </c>
      <c r="N50" s="335">
        <v>1.4802983119047362</v>
      </c>
      <c r="O50" s="335">
        <v>1.4887819132240936</v>
      </c>
      <c r="P50" s="335">
        <v>8.4356789458995003</v>
      </c>
      <c r="Q50" s="335">
        <v>9.6399625450961235</v>
      </c>
      <c r="R50" s="335">
        <v>2.0238527600266036</v>
      </c>
      <c r="S50" s="335">
        <v>18.334441657372928</v>
      </c>
      <c r="T50" s="334">
        <v>-0.40478515759849493</v>
      </c>
      <c r="U50" s="334">
        <v>6.4639890811574539E-3</v>
      </c>
      <c r="V50" s="334">
        <v>-1.0506217293196982E-2</v>
      </c>
      <c r="W50" s="334">
        <v>2.0046851159696379E-2</v>
      </c>
      <c r="X50" s="334">
        <v>0.18714725400678406</v>
      </c>
      <c r="Y50" s="334">
        <v>0.2248570127220276</v>
      </c>
      <c r="Z50" s="334">
        <v>0.22485701272202763</v>
      </c>
      <c r="AA50" s="336">
        <v>0.15300583120994887</v>
      </c>
    </row>
    <row r="51" spans="1:27" ht="14">
      <c r="A51" s="247" t="s">
        <v>683</v>
      </c>
      <c r="B51" s="333">
        <v>283</v>
      </c>
      <c r="C51" s="334">
        <v>5.6888627450980403E-2</v>
      </c>
      <c r="D51" s="334">
        <v>0.255024819913312</v>
      </c>
      <c r="E51" s="334">
        <v>0.14253207300518655</v>
      </c>
      <c r="F51" s="334">
        <v>0.18511588872445409</v>
      </c>
      <c r="G51" s="335">
        <v>0.58806403333836699</v>
      </c>
      <c r="H51" s="335">
        <v>0.65958175126639418</v>
      </c>
      <c r="I51" s="334">
        <v>6.8917346106481175E-2</v>
      </c>
      <c r="J51" s="334">
        <v>0.30042257283097029</v>
      </c>
      <c r="K51" s="334">
        <v>5.0672000000000002E-2</v>
      </c>
      <c r="L51" s="334">
        <v>0.24635339593860164</v>
      </c>
      <c r="M51" s="334">
        <v>6.1301738313324187E-2</v>
      </c>
      <c r="N51" s="335">
        <v>0.58941738988416648</v>
      </c>
      <c r="O51" s="335">
        <v>5.4860456257289512</v>
      </c>
      <c r="P51" s="335">
        <v>38.028800579044059</v>
      </c>
      <c r="Q51" s="335">
        <v>20.399919490559814</v>
      </c>
      <c r="R51" s="335">
        <v>2.4896160129666742</v>
      </c>
      <c r="S51" s="335">
        <v>75.304908328590471</v>
      </c>
      <c r="T51" s="334" t="s">
        <v>93</v>
      </c>
      <c r="U51" s="334">
        <v>2.4442614741475917E-2</v>
      </c>
      <c r="V51" s="334">
        <v>0.21022998213119337</v>
      </c>
      <c r="W51" s="334">
        <v>1.310653356484875</v>
      </c>
      <c r="X51" s="334">
        <v>0.15880676782898712</v>
      </c>
      <c r="Y51" s="334">
        <v>0.58240062028042749</v>
      </c>
      <c r="Z51" s="334">
        <v>0.58240062028042749</v>
      </c>
      <c r="AA51" s="336">
        <v>0.252572918757687</v>
      </c>
    </row>
    <row r="52" spans="1:27" ht="14">
      <c r="A52" s="247" t="s">
        <v>684</v>
      </c>
      <c r="B52" s="333">
        <v>105</v>
      </c>
      <c r="C52" s="334">
        <v>0.10368774647887326</v>
      </c>
      <c r="D52" s="334">
        <v>0.15864950695178751</v>
      </c>
      <c r="E52" s="334">
        <v>0.24408325788322105</v>
      </c>
      <c r="F52" s="334">
        <v>0.21211063196638047</v>
      </c>
      <c r="G52" s="335">
        <v>0.89403025100869393</v>
      </c>
      <c r="H52" s="335">
        <v>0.96362079034943848</v>
      </c>
      <c r="I52" s="334">
        <v>8.2477487249584952E-2</v>
      </c>
      <c r="J52" s="334">
        <v>0.45034116660736356</v>
      </c>
      <c r="K52" s="334">
        <v>5.2913000000000002E-2</v>
      </c>
      <c r="L52" s="334">
        <v>0.12810189833015501</v>
      </c>
      <c r="M52" s="334">
        <v>7.6995656373169588E-2</v>
      </c>
      <c r="N52" s="335">
        <v>1.9519255902045307</v>
      </c>
      <c r="O52" s="335">
        <v>3.426131130289686</v>
      </c>
      <c r="P52" s="335">
        <v>16.217470562270965</v>
      </c>
      <c r="Q52" s="335">
        <v>21.036330264618158</v>
      </c>
      <c r="R52" s="335">
        <v>4.5014100240955166</v>
      </c>
      <c r="S52" s="335">
        <v>35.761035877267844</v>
      </c>
      <c r="T52" s="334">
        <v>0.24421935676681558</v>
      </c>
      <c r="U52" s="334">
        <v>2.3903136562751549E-2</v>
      </c>
      <c r="V52" s="334">
        <v>4.1351046278812788E-2</v>
      </c>
      <c r="W52" s="334">
        <v>0.34325707453815479</v>
      </c>
      <c r="X52" s="334">
        <v>0.16423121638505028</v>
      </c>
      <c r="Y52" s="334">
        <v>0.33425683617051016</v>
      </c>
      <c r="Z52" s="334">
        <v>0.33425683617051016</v>
      </c>
      <c r="AA52" s="336">
        <v>0.16121052370028846</v>
      </c>
    </row>
    <row r="53" spans="1:27" ht="14">
      <c r="A53" s="247" t="s">
        <v>685</v>
      </c>
      <c r="B53" s="333">
        <v>73</v>
      </c>
      <c r="C53" s="334">
        <v>8.6706666666666696E-2</v>
      </c>
      <c r="D53" s="334">
        <v>0.23854271917353254</v>
      </c>
      <c r="E53" s="334">
        <v>0.27043617767869521</v>
      </c>
      <c r="F53" s="334">
        <v>0.34462831037250807</v>
      </c>
      <c r="G53" s="335">
        <v>1.0104492960544031</v>
      </c>
      <c r="H53" s="335">
        <v>1.0430314762308461</v>
      </c>
      <c r="I53" s="334">
        <v>8.6019203839895739E-2</v>
      </c>
      <c r="J53" s="334">
        <v>0.77560259574683255</v>
      </c>
      <c r="K53" s="334">
        <v>6.0194999999999999E-2</v>
      </c>
      <c r="L53" s="334">
        <v>9.8973452830721301E-2</v>
      </c>
      <c r="M53" s="334">
        <v>8.1973866470970574E-2</v>
      </c>
      <c r="N53" s="335">
        <v>1.1757156013607679</v>
      </c>
      <c r="O53" s="335">
        <v>4.0344825480569595</v>
      </c>
      <c r="P53" s="335">
        <v>11.3906369554613</v>
      </c>
      <c r="Q53" s="335">
        <v>15.721898982280555</v>
      </c>
      <c r="R53" s="335">
        <v>4.3367655201073294</v>
      </c>
      <c r="S53" s="335">
        <v>54.117601415189604</v>
      </c>
      <c r="T53" s="334">
        <v>0.14887154431534966</v>
      </c>
      <c r="U53" s="334">
        <v>0.11715688032980953</v>
      </c>
      <c r="V53" s="334">
        <v>4.6138468920865205E-2</v>
      </c>
      <c r="W53" s="334">
        <v>0.32403217530523892</v>
      </c>
      <c r="X53" s="334">
        <v>0.17794348748808222</v>
      </c>
      <c r="Y53" s="334">
        <v>0.51999449371742823</v>
      </c>
      <c r="Z53" s="334">
        <v>0.51999449371742823</v>
      </c>
      <c r="AA53" s="336">
        <v>0.23750131147273207</v>
      </c>
    </row>
    <row r="54" spans="1:27" ht="14">
      <c r="A54" s="247" t="s">
        <v>686</v>
      </c>
      <c r="B54" s="333">
        <v>14</v>
      </c>
      <c r="C54" s="334">
        <v>8.1300000000000011E-2</v>
      </c>
      <c r="D54" s="334">
        <v>0.10728305214757801</v>
      </c>
      <c r="E54" s="334">
        <v>0.18260160203320722</v>
      </c>
      <c r="F54" s="334">
        <v>0.23759711400364142</v>
      </c>
      <c r="G54" s="335">
        <v>1.0381901897861687</v>
      </c>
      <c r="H54" s="335">
        <v>1.3343750386217481</v>
      </c>
      <c r="I54" s="334">
        <v>9.9013126722529959E-2</v>
      </c>
      <c r="J54" s="334">
        <v>0.39607566964650021</v>
      </c>
      <c r="K54" s="334">
        <v>5.0672000000000002E-2</v>
      </c>
      <c r="L54" s="334">
        <v>0.32479184369488656</v>
      </c>
      <c r="M54" s="334">
        <v>7.919785997210449E-2</v>
      </c>
      <c r="N54" s="335">
        <v>2.2050306785340026</v>
      </c>
      <c r="O54" s="335">
        <v>1.433663742966214</v>
      </c>
      <c r="P54" s="335">
        <v>8.5948544688336455</v>
      </c>
      <c r="Q54" s="335">
        <v>13.026288799224101</v>
      </c>
      <c r="R54" s="335">
        <v>2.9240789608547852</v>
      </c>
      <c r="S54" s="335">
        <v>18.551526948284089</v>
      </c>
      <c r="T54" s="334">
        <v>8.1389915003820604E-2</v>
      </c>
      <c r="U54" s="334">
        <v>2.7643413569059208E-2</v>
      </c>
      <c r="V54" s="334">
        <v>1.8695169513859498E-2</v>
      </c>
      <c r="W54" s="334">
        <v>0.32291643070222387</v>
      </c>
      <c r="X54" s="334">
        <v>0.13225661947364661</v>
      </c>
      <c r="Y54" s="334">
        <v>0.57403612207606014</v>
      </c>
      <c r="Z54" s="334">
        <v>0.57403612207606014</v>
      </c>
      <c r="AA54" s="336">
        <v>0.10798292718748384</v>
      </c>
    </row>
    <row r="55" spans="1:27" ht="14">
      <c r="A55" s="247" t="s">
        <v>687</v>
      </c>
      <c r="B55" s="333">
        <v>4</v>
      </c>
      <c r="C55" s="334">
        <v>4.6199999999999998E-2</v>
      </c>
      <c r="D55" s="334">
        <v>0.1124866389469229</v>
      </c>
      <c r="E55" s="334">
        <v>8.44906040235468E-2</v>
      </c>
      <c r="F55" s="334">
        <v>0.31437215036996041</v>
      </c>
      <c r="G55" s="335">
        <v>0.27800401235886663</v>
      </c>
      <c r="H55" s="335">
        <v>0.29938197964399788</v>
      </c>
      <c r="I55" s="334">
        <v>5.2852436292122308E-2</v>
      </c>
      <c r="J55" s="334">
        <v>0.20268279045885779</v>
      </c>
      <c r="K55" s="334">
        <v>4.7306000000000001E-2</v>
      </c>
      <c r="L55" s="334">
        <v>0.12161274069413096</v>
      </c>
      <c r="M55" s="334">
        <v>5.0739665895732783E-2</v>
      </c>
      <c r="N55" s="335">
        <v>1.0243112911858847</v>
      </c>
      <c r="O55" s="335">
        <v>1.7531762327331943</v>
      </c>
      <c r="P55" s="335">
        <v>8.1630216111072649</v>
      </c>
      <c r="Q55" s="335">
        <v>15.156703973353256</v>
      </c>
      <c r="R55" s="335">
        <v>1.7075523310467329</v>
      </c>
      <c r="S55" s="335">
        <v>16.243905482865941</v>
      </c>
      <c r="T55" s="334">
        <v>3.9274251407259667E-2</v>
      </c>
      <c r="U55" s="334">
        <v>9.6389880835372435E-2</v>
      </c>
      <c r="V55" s="334">
        <v>3.8903252040173456E-3</v>
      </c>
      <c r="W55" s="334">
        <v>8.3948921437387386E-2</v>
      </c>
      <c r="X55" s="334">
        <v>9.9575021403991049E-2</v>
      </c>
      <c r="Y55" s="334">
        <v>0.67733936055668764</v>
      </c>
      <c r="Z55" s="334">
        <v>0.67733936055668764</v>
      </c>
      <c r="AA55" s="336">
        <v>0.11577412006146154</v>
      </c>
    </row>
    <row r="56" spans="1:27" ht="14">
      <c r="A56" s="247" t="s">
        <v>688</v>
      </c>
      <c r="B56" s="333">
        <v>142</v>
      </c>
      <c r="C56" s="334">
        <v>0.17612520547945207</v>
      </c>
      <c r="D56" s="334">
        <v>0.25415829879813889</v>
      </c>
      <c r="E56" s="334">
        <v>0.13731095270967508</v>
      </c>
      <c r="F56" s="334">
        <v>0.25337213780269946</v>
      </c>
      <c r="G56" s="335">
        <v>0.57854056928853237</v>
      </c>
      <c r="H56" s="335">
        <v>0.72140595546977004</v>
      </c>
      <c r="I56" s="334">
        <v>7.1674705613951742E-2</v>
      </c>
      <c r="J56" s="334">
        <v>0.42219200974609405</v>
      </c>
      <c r="K56" s="334">
        <v>5.0672000000000002E-2</v>
      </c>
      <c r="L56" s="334">
        <v>0.27319045173723411</v>
      </c>
      <c r="M56" s="334">
        <v>6.2476190336964846E-2</v>
      </c>
      <c r="N56" s="335">
        <v>0.57409944317688832</v>
      </c>
      <c r="O56" s="335">
        <v>2.6825885994843817</v>
      </c>
      <c r="P56" s="335">
        <v>5.1458593386451499</v>
      </c>
      <c r="Q56" s="335">
        <v>10.277443744334771</v>
      </c>
      <c r="R56" s="335">
        <v>1.3557207436661911</v>
      </c>
      <c r="S56" s="335">
        <v>30.983413096602018</v>
      </c>
      <c r="T56" s="334">
        <v>6.6171271191045105E-3</v>
      </c>
      <c r="U56" s="334">
        <v>0.38137410971045865</v>
      </c>
      <c r="V56" s="334">
        <v>0.19048691874575868</v>
      </c>
      <c r="W56" s="334">
        <v>1.0047519443561985</v>
      </c>
      <c r="X56" s="334">
        <v>0.12211066139642923</v>
      </c>
      <c r="Y56" s="334">
        <v>0.41698781277801439</v>
      </c>
      <c r="Z56" s="334">
        <v>0.41698781277801444</v>
      </c>
      <c r="AA56" s="336">
        <v>0.25749648519335816</v>
      </c>
    </row>
    <row r="57" spans="1:27" ht="14">
      <c r="A57" s="247" t="s">
        <v>689</v>
      </c>
      <c r="B57" s="333">
        <v>23</v>
      </c>
      <c r="C57" s="334">
        <v>0.20128066666666669</v>
      </c>
      <c r="D57" s="334">
        <v>0.25778109907344859</v>
      </c>
      <c r="E57" s="334">
        <v>0.12351055159122301</v>
      </c>
      <c r="F57" s="334">
        <v>0.20388504396437862</v>
      </c>
      <c r="G57" s="335">
        <v>0.46925629740907565</v>
      </c>
      <c r="H57" s="335">
        <v>0.66922245171448991</v>
      </c>
      <c r="I57" s="334">
        <v>6.9347321346466248E-2</v>
      </c>
      <c r="J57" s="334">
        <v>0.42240372453265573</v>
      </c>
      <c r="K57" s="334">
        <v>5.0672000000000002E-2</v>
      </c>
      <c r="L57" s="334">
        <v>0.36919317539892843</v>
      </c>
      <c r="M57" s="334">
        <v>5.7775581011015355E-2</v>
      </c>
      <c r="N57" s="335">
        <v>0.52193746852269296</v>
      </c>
      <c r="O57" s="335">
        <v>4.3717837818828933</v>
      </c>
      <c r="P57" s="335">
        <v>11.562396589541736</v>
      </c>
      <c r="Q57" s="335">
        <v>16.480576799916097</v>
      </c>
      <c r="R57" s="335">
        <v>2.8822710208384796</v>
      </c>
      <c r="S57" s="335">
        <v>23.71726394001627</v>
      </c>
      <c r="T57" s="334">
        <v>1.0570039121307597E-2</v>
      </c>
      <c r="U57" s="334">
        <v>0.21241109540600209</v>
      </c>
      <c r="V57" s="334">
        <v>0.19592039293694488</v>
      </c>
      <c r="W57" s="334">
        <v>0.99633827141005071</v>
      </c>
      <c r="X57" s="334">
        <v>0.18032702415722426</v>
      </c>
      <c r="Y57" s="334">
        <v>0.69434855550050512</v>
      </c>
      <c r="Z57" s="334">
        <v>0.69434855550050512</v>
      </c>
      <c r="AA57" s="336">
        <v>0.26054682808764429</v>
      </c>
    </row>
    <row r="58" spans="1:27" ht="14">
      <c r="A58" s="247" t="s">
        <v>690</v>
      </c>
      <c r="B58" s="333">
        <v>97</v>
      </c>
      <c r="C58" s="334">
        <v>0.10785927272727271</v>
      </c>
      <c r="D58" s="334">
        <v>4.6496062786623764E-2</v>
      </c>
      <c r="E58" s="334">
        <v>0.11937951003115008</v>
      </c>
      <c r="F58" s="334">
        <v>0.1854586896156506</v>
      </c>
      <c r="G58" s="335">
        <v>0.78705756414207284</v>
      </c>
      <c r="H58" s="335">
        <v>0.9512418716285248</v>
      </c>
      <c r="I58" s="334">
        <v>8.1925387474632211E-2</v>
      </c>
      <c r="J58" s="334">
        <v>0.4831643535406242</v>
      </c>
      <c r="K58" s="334">
        <v>5.2913000000000002E-2</v>
      </c>
      <c r="L58" s="334">
        <v>0.27198932860464653</v>
      </c>
      <c r="M58" s="334">
        <v>7.0436384848074726E-2</v>
      </c>
      <c r="N58" s="335">
        <v>2.792715187270896</v>
      </c>
      <c r="O58" s="335">
        <v>0.74135183693843409</v>
      </c>
      <c r="P58" s="335">
        <v>8.6297606667475986</v>
      </c>
      <c r="Q58" s="335">
        <v>14.904129004234006</v>
      </c>
      <c r="R58" s="335">
        <v>1.9183893473343103</v>
      </c>
      <c r="S58" s="335">
        <v>33.300345338219728</v>
      </c>
      <c r="T58" s="334">
        <v>8.9263294829458634E-2</v>
      </c>
      <c r="U58" s="334">
        <v>2.8881308122607672E-2</v>
      </c>
      <c r="V58" s="334">
        <v>9.0806707487375588E-3</v>
      </c>
      <c r="W58" s="334">
        <v>0.3218336130235796</v>
      </c>
      <c r="X58" s="334">
        <v>8.6460412605034634E-2</v>
      </c>
      <c r="Y58" s="334">
        <v>0.60075087398942861</v>
      </c>
      <c r="Z58" s="334">
        <v>0.60075087398942861</v>
      </c>
      <c r="AA58" s="336">
        <v>4.8154549584060992E-2</v>
      </c>
    </row>
    <row r="59" spans="1:27" ht="14">
      <c r="A59" s="247" t="s">
        <v>691</v>
      </c>
      <c r="B59" s="333">
        <v>19</v>
      </c>
      <c r="C59" s="334">
        <v>4.6629999999999991E-2</v>
      </c>
      <c r="D59" s="334">
        <v>9.5755765455447575E-2</v>
      </c>
      <c r="E59" s="334">
        <v>0.14816927195835602</v>
      </c>
      <c r="F59" s="334">
        <v>0.23575215136408695</v>
      </c>
      <c r="G59" s="335">
        <v>0.74899179586351039</v>
      </c>
      <c r="H59" s="335">
        <v>1.0219297750432532</v>
      </c>
      <c r="I59" s="334">
        <v>8.50780679669291E-2</v>
      </c>
      <c r="J59" s="334">
        <v>0.25447909143998576</v>
      </c>
      <c r="K59" s="334">
        <v>4.7306000000000001E-2</v>
      </c>
      <c r="L59" s="334">
        <v>0.35529454409782629</v>
      </c>
      <c r="M59" s="334">
        <v>6.7455967373213965E-2</v>
      </c>
      <c r="N59" s="335">
        <v>1.8403807026531327</v>
      </c>
      <c r="O59" s="335">
        <v>1.5482237405985284</v>
      </c>
      <c r="P59" s="335">
        <v>9.7095672332883129</v>
      </c>
      <c r="Q59" s="335">
        <v>15.778450350932102</v>
      </c>
      <c r="R59" s="335">
        <v>2.1839676063332765</v>
      </c>
      <c r="S59" s="335">
        <v>16.428216288746711</v>
      </c>
      <c r="T59" s="334">
        <v>0.1265597291835957</v>
      </c>
      <c r="U59" s="334">
        <v>5.4699034955882672E-2</v>
      </c>
      <c r="V59" s="334">
        <v>5.1378262057658178E-2</v>
      </c>
      <c r="W59" s="334">
        <v>0.93958506635970473</v>
      </c>
      <c r="X59" s="334">
        <v>0.12293731853965369</v>
      </c>
      <c r="Y59" s="334">
        <v>0.55582487520147095</v>
      </c>
      <c r="Z59" s="334">
        <v>0.55582487520147095</v>
      </c>
      <c r="AA59" s="336">
        <v>9.7673274187051809E-2</v>
      </c>
    </row>
    <row r="60" spans="1:27" ht="14">
      <c r="A60" s="247" t="s">
        <v>692</v>
      </c>
      <c r="B60" s="333">
        <v>6</v>
      </c>
      <c r="C60" s="334">
        <v>-3.3999999999999985E-3</v>
      </c>
      <c r="D60" s="334">
        <v>6.3448388590732013E-2</v>
      </c>
      <c r="E60" s="334">
        <v>0.10414205662375479</v>
      </c>
      <c r="F60" s="334">
        <v>0.25842696629213485</v>
      </c>
      <c r="G60" s="335">
        <v>0.76967514554082472</v>
      </c>
      <c r="H60" s="335">
        <v>0.95797843096936519</v>
      </c>
      <c r="I60" s="334">
        <v>8.2225838021233691E-2</v>
      </c>
      <c r="J60" s="334">
        <v>0.56944502382492834</v>
      </c>
      <c r="K60" s="334">
        <v>5.2913000000000002E-2</v>
      </c>
      <c r="L60" s="334">
        <v>0.30404851204898026</v>
      </c>
      <c r="M60" s="334">
        <v>6.9291283507432896E-2</v>
      </c>
      <c r="N60" s="335">
        <v>1.7317984331861096</v>
      </c>
      <c r="O60" s="335">
        <v>1.0203986001754877</v>
      </c>
      <c r="P60" s="335">
        <v>8.1832826633111146</v>
      </c>
      <c r="Q60" s="335">
        <v>15.510405513934987</v>
      </c>
      <c r="R60" s="335">
        <v>1.8281319307473152</v>
      </c>
      <c r="S60" s="335">
        <v>12.85053914674168</v>
      </c>
      <c r="T60" s="334">
        <v>0.13244521934962447</v>
      </c>
      <c r="U60" s="334">
        <v>6.2104412419066293E-2</v>
      </c>
      <c r="V60" s="334">
        <v>1.8007464516304791E-2</v>
      </c>
      <c r="W60" s="334">
        <v>0.44287770438898322</v>
      </c>
      <c r="X60" s="334">
        <v>7.0136499833536786E-2</v>
      </c>
      <c r="Y60" s="334">
        <v>3.3254219409282699</v>
      </c>
      <c r="Z60" s="334">
        <v>3.3254219409282699</v>
      </c>
      <c r="AA60" s="336">
        <v>6.6294976889194807E-2</v>
      </c>
    </row>
    <row r="61" spans="1:27" ht="14">
      <c r="A61" s="247" t="s">
        <v>693</v>
      </c>
      <c r="B61" s="333">
        <v>46</v>
      </c>
      <c r="C61" s="334">
        <v>6.735309523809524E-2</v>
      </c>
      <c r="D61" s="334">
        <v>0.21469956622024261</v>
      </c>
      <c r="E61" s="334">
        <v>6.9218724202908158E-2</v>
      </c>
      <c r="F61" s="334">
        <v>0.13013680604114888</v>
      </c>
      <c r="G61" s="335">
        <v>0.31457840775745605</v>
      </c>
      <c r="H61" s="335">
        <v>0.48243267131702228</v>
      </c>
      <c r="I61" s="334">
        <v>6.1016497140739194E-2</v>
      </c>
      <c r="J61" s="334">
        <v>0.25379988697855693</v>
      </c>
      <c r="K61" s="334">
        <v>4.7306000000000001E-2</v>
      </c>
      <c r="L61" s="334">
        <v>0.42577792107496654</v>
      </c>
      <c r="M61" s="334">
        <v>5.0143407587657896E-2</v>
      </c>
      <c r="N61" s="335">
        <v>0.37173351266396198</v>
      </c>
      <c r="O61" s="335">
        <v>4.695806461850637</v>
      </c>
      <c r="P61" s="335">
        <v>12.381410319081745</v>
      </c>
      <c r="Q61" s="335">
        <v>21.859085923257439</v>
      </c>
      <c r="R61" s="335">
        <v>2.2756619911405731</v>
      </c>
      <c r="S61" s="335">
        <v>24.741171913768934</v>
      </c>
      <c r="T61" s="334">
        <v>3.0793409586389906E-2</v>
      </c>
      <c r="U61" s="334">
        <v>0.38694615073999533</v>
      </c>
      <c r="V61" s="334">
        <v>0.24346143806045178</v>
      </c>
      <c r="W61" s="334">
        <v>1.3095343770177144</v>
      </c>
      <c r="X61" s="334">
        <v>0.12399093984234143</v>
      </c>
      <c r="Y61" s="334">
        <v>0.54957891962095951</v>
      </c>
      <c r="Z61" s="334">
        <v>0.54957891962095951</v>
      </c>
      <c r="AA61" s="336">
        <v>0.21366595999098478</v>
      </c>
    </row>
    <row r="62" spans="1:27" ht="14">
      <c r="A62" s="247" t="s">
        <v>694</v>
      </c>
      <c r="B62" s="333">
        <v>56</v>
      </c>
      <c r="C62" s="334">
        <v>0.46045454545454545</v>
      </c>
      <c r="D62" s="334">
        <v>0.40388775060193199</v>
      </c>
      <c r="E62" s="334">
        <v>0.25451637862422194</v>
      </c>
      <c r="F62" s="334">
        <v>0.28746597090529191</v>
      </c>
      <c r="G62" s="335">
        <v>0.83089620734017222</v>
      </c>
      <c r="H62" s="335">
        <v>0.83656065122919421</v>
      </c>
      <c r="I62" s="334">
        <v>7.6810605044822067E-2</v>
      </c>
      <c r="J62" s="334">
        <v>0.69947203546018366</v>
      </c>
      <c r="K62" s="334">
        <v>6.0194999999999999E-2</v>
      </c>
      <c r="L62" s="334">
        <v>6.7869401124549047E-2</v>
      </c>
      <c r="M62" s="334">
        <v>7.4661564230934896E-2</v>
      </c>
      <c r="N62" s="335">
        <v>0.67779616636358231</v>
      </c>
      <c r="O62" s="335">
        <v>5.9817370288703877</v>
      </c>
      <c r="P62" s="335">
        <v>10.676341144431332</v>
      </c>
      <c r="Q62" s="335">
        <v>14.28466837764744</v>
      </c>
      <c r="R62" s="335">
        <v>3.6400986846215324</v>
      </c>
      <c r="S62" s="335">
        <v>26.798624420328615</v>
      </c>
      <c r="T62" s="334">
        <v>9.0999513552713268E-2</v>
      </c>
      <c r="U62" s="334">
        <v>0.18183462912628259</v>
      </c>
      <c r="V62" s="334">
        <v>6.119648959370419E-2</v>
      </c>
      <c r="W62" s="334">
        <v>0.29453368157161064</v>
      </c>
      <c r="X62" s="334">
        <v>0.23523056888876692</v>
      </c>
      <c r="Y62" s="334">
        <v>0.25150955741549114</v>
      </c>
      <c r="Z62" s="334">
        <v>0.25150955741549108</v>
      </c>
      <c r="AA62" s="336">
        <v>0.40350161244366967</v>
      </c>
    </row>
    <row r="63" spans="1:27" ht="14">
      <c r="A63" s="247" t="s">
        <v>695</v>
      </c>
      <c r="B63" s="333">
        <v>19</v>
      </c>
      <c r="C63" s="334">
        <v>3.9916666666666453E-4</v>
      </c>
      <c r="D63" s="334">
        <v>9.9826888897915647E-2</v>
      </c>
      <c r="E63" s="334">
        <v>0.17632773244458913</v>
      </c>
      <c r="F63" s="334">
        <v>0.26800754049953252</v>
      </c>
      <c r="G63" s="335">
        <v>0.51188407379011402</v>
      </c>
      <c r="H63" s="335">
        <v>0.56300717660154098</v>
      </c>
      <c r="I63" s="334">
        <v>6.4610120076428731E-2</v>
      </c>
      <c r="J63" s="334">
        <v>0.35925309700015134</v>
      </c>
      <c r="K63" s="334">
        <v>5.0672000000000002E-2</v>
      </c>
      <c r="L63" s="334">
        <v>0.19315716463726645</v>
      </c>
      <c r="M63" s="334">
        <v>5.9470957360467105E-2</v>
      </c>
      <c r="N63" s="335">
        <v>2.1648896739389594</v>
      </c>
      <c r="O63" s="335">
        <v>1.6994070024135182</v>
      </c>
      <c r="P63" s="335">
        <v>11.237817589409497</v>
      </c>
      <c r="Q63" s="335">
        <v>17.16106357418429</v>
      </c>
      <c r="R63" s="335">
        <v>2.2839415625241202</v>
      </c>
      <c r="S63" s="335">
        <v>15.180436765971056</v>
      </c>
      <c r="T63" s="334">
        <v>0.12891803605092594</v>
      </c>
      <c r="U63" s="334">
        <v>3.261342577023911E-2</v>
      </c>
      <c r="V63" s="334">
        <v>-5.9039317870506125E-3</v>
      </c>
      <c r="W63" s="334">
        <v>2.4902842363282593E-2</v>
      </c>
      <c r="X63" s="334">
        <v>0.13834733920348685</v>
      </c>
      <c r="Y63" s="334">
        <v>0.23088767328572254</v>
      </c>
      <c r="Z63" s="334">
        <v>0.23088767328572257</v>
      </c>
      <c r="AA63" s="336">
        <v>9.9232968546182826E-2</v>
      </c>
    </row>
    <row r="64" spans="1:27" ht="14">
      <c r="A64" s="247" t="s">
        <v>696</v>
      </c>
      <c r="B64" s="333">
        <v>190</v>
      </c>
      <c r="C64" s="334">
        <v>0.12590256249999998</v>
      </c>
      <c r="D64" s="334">
        <v>0.24643404671038199</v>
      </c>
      <c r="E64" s="334">
        <v>3.2030802806398237E-2</v>
      </c>
      <c r="F64" s="334">
        <v>3.5129761734372648E-2</v>
      </c>
      <c r="G64" s="335">
        <v>0.40054184967311207</v>
      </c>
      <c r="H64" s="335">
        <v>0.64179846357629644</v>
      </c>
      <c r="I64" s="334">
        <v>6.8124211475502822E-2</v>
      </c>
      <c r="J64" s="334">
        <v>0.26369287026892851</v>
      </c>
      <c r="K64" s="334">
        <v>4.7306000000000001E-2</v>
      </c>
      <c r="L64" s="334">
        <v>0.4578858440045514</v>
      </c>
      <c r="M64" s="334">
        <v>5.3176660209257147E-2</v>
      </c>
      <c r="N64" s="335">
        <v>0.14654327790570346</v>
      </c>
      <c r="O64" s="335">
        <v>10.650570831822968</v>
      </c>
      <c r="P64" s="335">
        <v>19.871176003410046</v>
      </c>
      <c r="Q64" s="335">
        <v>42.725292346087237</v>
      </c>
      <c r="R64" s="335">
        <v>1.9915152243761973</v>
      </c>
      <c r="S64" s="335">
        <v>36.954450067178911</v>
      </c>
      <c r="T64" s="334">
        <v>1.3967169924585698</v>
      </c>
      <c r="U64" s="334">
        <v>3.6026979952074219E-2</v>
      </c>
      <c r="V64" s="334">
        <v>-0.12711188348448668</v>
      </c>
      <c r="W64" s="334">
        <v>-0.57569773976474525</v>
      </c>
      <c r="X64" s="334">
        <v>5.037954337741777E-2</v>
      </c>
      <c r="Y64" s="334">
        <v>1.9487195504756645</v>
      </c>
      <c r="Z64" s="334">
        <v>1.9487195504756645</v>
      </c>
      <c r="AA64" s="336">
        <v>0.22209772455024684</v>
      </c>
    </row>
    <row r="65" spans="1:27" ht="14">
      <c r="A65" s="247" t="s">
        <v>697</v>
      </c>
      <c r="B65" s="333">
        <v>14</v>
      </c>
      <c r="C65" s="334">
        <v>0.2860833333333333</v>
      </c>
      <c r="D65" s="334">
        <v>0.21526561249700268</v>
      </c>
      <c r="E65" s="334">
        <v>7.0433558847822625E-2</v>
      </c>
      <c r="F65" s="334">
        <v>0.2529066927210552</v>
      </c>
      <c r="G65" s="335">
        <v>0.56410361871777703</v>
      </c>
      <c r="H65" s="335">
        <v>0.84356606159748782</v>
      </c>
      <c r="I65" s="334">
        <v>7.7123046347247953E-2</v>
      </c>
      <c r="J65" s="334">
        <v>0.52102337389340736</v>
      </c>
      <c r="K65" s="334">
        <v>5.2913000000000002E-2</v>
      </c>
      <c r="L65" s="334">
        <v>0.5045319836293547</v>
      </c>
      <c r="M65" s="334">
        <v>5.8234228427467324E-2</v>
      </c>
      <c r="N65" s="335">
        <v>0.34951067348440373</v>
      </c>
      <c r="O65" s="335">
        <v>3.0335118159319112</v>
      </c>
      <c r="P65" s="335">
        <v>10.230498510219929</v>
      </c>
      <c r="Q65" s="335">
        <v>13.491460902121418</v>
      </c>
      <c r="R65" s="335">
        <v>0.99348478524917239</v>
      </c>
      <c r="S65" s="335">
        <v>11.353163449905935</v>
      </c>
      <c r="T65" s="334">
        <v>1.6438688332017736E-2</v>
      </c>
      <c r="U65" s="334">
        <v>1.0523465558073179E-2</v>
      </c>
      <c r="V65" s="334">
        <v>-4.2704109537370583E-2</v>
      </c>
      <c r="W65" s="334">
        <v>-0.46616878573714482</v>
      </c>
      <c r="X65" s="334">
        <v>5.0605459109192688E-2</v>
      </c>
      <c r="Y65" s="334">
        <v>0</v>
      </c>
      <c r="Z65" s="334">
        <v>0</v>
      </c>
      <c r="AA65" s="336">
        <v>0.21191936700617578</v>
      </c>
    </row>
    <row r="66" spans="1:27" ht="14">
      <c r="A66" s="247" t="s">
        <v>698</v>
      </c>
      <c r="B66" s="333">
        <v>12</v>
      </c>
      <c r="C66" s="334">
        <v>9.5967999999999984E-2</v>
      </c>
      <c r="D66" s="334">
        <v>0.21451711491442543</v>
      </c>
      <c r="E66" s="334">
        <v>5.1949230714927352E-2</v>
      </c>
      <c r="F66" s="334">
        <v>0.17034225238792733</v>
      </c>
      <c r="G66" s="335">
        <v>0.62695363585981057</v>
      </c>
      <c r="H66" s="335">
        <v>0.80998647694573955</v>
      </c>
      <c r="I66" s="334">
        <v>7.5625396871779993E-2</v>
      </c>
      <c r="J66" s="334">
        <v>0.31209535325023385</v>
      </c>
      <c r="K66" s="334">
        <v>5.0672000000000002E-2</v>
      </c>
      <c r="L66" s="334">
        <v>0.34878955352442437</v>
      </c>
      <c r="M66" s="334">
        <v>6.2503446653906683E-2</v>
      </c>
      <c r="N66" s="335">
        <v>0.24666170173123336</v>
      </c>
      <c r="O66" s="335">
        <v>6.8261578648082946</v>
      </c>
      <c r="P66" s="335">
        <v>17.286870078907647</v>
      </c>
      <c r="Q66" s="335">
        <v>26.873684093715536</v>
      </c>
      <c r="R66" s="335">
        <v>1.1639630713249574</v>
      </c>
      <c r="S66" s="335">
        <v>40.248987883834879</v>
      </c>
      <c r="T66" s="334">
        <v>2.5716778728606364</v>
      </c>
      <c r="U66" s="334">
        <v>2.3555419722901389E-2</v>
      </c>
      <c r="V66" s="334">
        <v>4.4386715566422314E-3</v>
      </c>
      <c r="W66" s="334">
        <v>0.96574392149153221</v>
      </c>
      <c r="X66" s="334">
        <v>0.10767597507500577</v>
      </c>
      <c r="Y66" s="334">
        <v>0.26963305898491086</v>
      </c>
      <c r="Z66" s="334">
        <v>0.26963305898491086</v>
      </c>
      <c r="AA66" s="336">
        <v>0.22087621024942458</v>
      </c>
    </row>
    <row r="67" spans="1:27" ht="14">
      <c r="A67" s="247" t="s">
        <v>699</v>
      </c>
      <c r="B67" s="333">
        <v>54</v>
      </c>
      <c r="C67" s="334">
        <v>0.12627121212121209</v>
      </c>
      <c r="D67" s="334">
        <v>2.8508268242877017E-2</v>
      </c>
      <c r="E67" s="334">
        <v>5.9426974075348735E-2</v>
      </c>
      <c r="F67" s="334">
        <v>0.19580401259799973</v>
      </c>
      <c r="G67" s="335">
        <v>0.85758643266203882</v>
      </c>
      <c r="H67" s="335">
        <v>0.96549740666104511</v>
      </c>
      <c r="I67" s="334">
        <v>8.2561184337082621E-2</v>
      </c>
      <c r="J67" s="334">
        <v>0.50559625569073496</v>
      </c>
      <c r="K67" s="334">
        <v>5.2913000000000002E-2</v>
      </c>
      <c r="L67" s="334">
        <v>0.19770402965979508</v>
      </c>
      <c r="M67" s="334">
        <v>7.4084340491197775E-2</v>
      </c>
      <c r="N67" s="335">
        <v>2.5168988059838724</v>
      </c>
      <c r="O67" s="335">
        <v>1.4639301809726371</v>
      </c>
      <c r="P67" s="335">
        <v>21.951001736299538</v>
      </c>
      <c r="Q67" s="335">
        <v>49.592274969808194</v>
      </c>
      <c r="R67" s="335">
        <v>3.0641343506139327</v>
      </c>
      <c r="S67" s="335">
        <v>107.33525597759802</v>
      </c>
      <c r="T67" s="334">
        <v>9.828580031656807E-2</v>
      </c>
      <c r="U67" s="334">
        <v>1.1649148878801193E-2</v>
      </c>
      <c r="V67" s="334">
        <v>2.4639351148280447E-2</v>
      </c>
      <c r="W67" s="334">
        <v>0.97597565944863973</v>
      </c>
      <c r="X67" s="334">
        <v>3.303284726431277E-2</v>
      </c>
      <c r="Y67" s="334">
        <v>0.27052526808015165</v>
      </c>
      <c r="Z67" s="334">
        <v>0.27052526808015165</v>
      </c>
      <c r="AA67" s="336">
        <v>2.8482756293223808E-2</v>
      </c>
    </row>
    <row r="68" spans="1:27" ht="14">
      <c r="A68" s="247" t="s">
        <v>700</v>
      </c>
      <c r="B68" s="333">
        <v>49</v>
      </c>
      <c r="C68" s="334">
        <v>9.14083333333333E-2</v>
      </c>
      <c r="D68" s="334">
        <v>9.6933100690499902E-2</v>
      </c>
      <c r="E68" s="334">
        <v>8.0245126910651568E-2</v>
      </c>
      <c r="F68" s="334">
        <v>0.25980169469316072</v>
      </c>
      <c r="G68" s="335">
        <v>0.73649871829926972</v>
      </c>
      <c r="H68" s="335">
        <v>1.0234727002249695</v>
      </c>
      <c r="I68" s="334">
        <v>8.5146882430033641E-2</v>
      </c>
      <c r="J68" s="334">
        <v>0.48308130338584487</v>
      </c>
      <c r="K68" s="334">
        <v>5.2913000000000002E-2</v>
      </c>
      <c r="L68" s="334">
        <v>0.38646742920174842</v>
      </c>
      <c r="M68" s="334">
        <v>6.75772489837691E-2</v>
      </c>
      <c r="N68" s="335">
        <v>1.2420065495162005</v>
      </c>
      <c r="O68" s="335">
        <v>1.9404277825243099</v>
      </c>
      <c r="P68" s="335">
        <v>10.390872319428379</v>
      </c>
      <c r="Q68" s="335">
        <v>23.957324617946625</v>
      </c>
      <c r="R68" s="335">
        <v>4.0276834572995037</v>
      </c>
      <c r="S68" s="335">
        <v>119.01498691997652</v>
      </c>
      <c r="T68" s="334">
        <v>0.15010930951824455</v>
      </c>
      <c r="U68" s="334">
        <v>6.6875972742377041E-2</v>
      </c>
      <c r="V68" s="334">
        <v>1.3353604423837605E-2</v>
      </c>
      <c r="W68" s="334">
        <v>5.6629490290082345E-2</v>
      </c>
      <c r="X68" s="334">
        <v>-0.12761155971725319</v>
      </c>
      <c r="Y68" s="334">
        <v>5.62724438125783E-3</v>
      </c>
      <c r="Z68" s="334">
        <v>5.6272443812578343E-3</v>
      </c>
      <c r="AA68" s="336">
        <v>8.0620967459705262E-2</v>
      </c>
    </row>
    <row r="69" spans="1:27" ht="14">
      <c r="A69" s="247" t="s">
        <v>701</v>
      </c>
      <c r="B69" s="333">
        <v>1</v>
      </c>
      <c r="C69" s="334">
        <v>9.3900000000000011E-2</v>
      </c>
      <c r="D69" s="334">
        <v>7.213952654232425E-2</v>
      </c>
      <c r="E69" s="334">
        <v>0.10144338115914428</v>
      </c>
      <c r="F69" s="334">
        <v>0.3035856573705179</v>
      </c>
      <c r="G69" s="335">
        <v>0.57770169876934341</v>
      </c>
      <c r="H69" s="335">
        <v>0.58133232239552346</v>
      </c>
      <c r="I69" s="334">
        <v>6.542742157884035E-2</v>
      </c>
      <c r="J69" s="334">
        <v>0.1921142517209114</v>
      </c>
      <c r="K69" s="334">
        <v>4.7306000000000001E-2</v>
      </c>
      <c r="L69" s="334">
        <v>0.30297670564968615</v>
      </c>
      <c r="M69" s="334">
        <v>5.635389895782815E-2</v>
      </c>
      <c r="N69" s="335">
        <v>2.0136121278427837</v>
      </c>
      <c r="O69" s="335">
        <v>0.65265028118587021</v>
      </c>
      <c r="P69" s="335">
        <v>8.6709029494696512</v>
      </c>
      <c r="Q69" s="335">
        <v>9.0219483926093851</v>
      </c>
      <c r="R69" s="335">
        <v>1.0231175390266301</v>
      </c>
      <c r="S69" s="335">
        <v>15.421107266435987</v>
      </c>
      <c r="T69" s="334">
        <v>1.4257532281205165E-2</v>
      </c>
      <c r="U69" s="334">
        <v>0</v>
      </c>
      <c r="V69" s="334">
        <v>-2.2327833572453352E-3</v>
      </c>
      <c r="W69" s="334">
        <v>0.30899329981828288</v>
      </c>
      <c r="X69" s="334">
        <v>7.7918576435696954E-2</v>
      </c>
      <c r="Y69" s="334">
        <v>0.27335640138408307</v>
      </c>
      <c r="Z69" s="334">
        <v>0.27335640138408301</v>
      </c>
      <c r="AA69" s="336">
        <v>7.2340280922079905E-2</v>
      </c>
    </row>
    <row r="70" spans="1:27" ht="14">
      <c r="A70" s="247" t="s">
        <v>702</v>
      </c>
      <c r="B70" s="333">
        <v>64</v>
      </c>
      <c r="C70" s="334">
        <v>0.13935384615384616</v>
      </c>
      <c r="D70" s="334">
        <v>0.15787862734302993</v>
      </c>
      <c r="E70" s="334">
        <v>0.18360436293768279</v>
      </c>
      <c r="F70" s="334">
        <v>0.21305758814254969</v>
      </c>
      <c r="G70" s="335">
        <v>0.78300738235507794</v>
      </c>
      <c r="H70" s="335">
        <v>0.92408731478032569</v>
      </c>
      <c r="I70" s="334">
        <v>8.0714294239202525E-2</v>
      </c>
      <c r="J70" s="334">
        <v>0.411494619604859</v>
      </c>
      <c r="K70" s="334">
        <v>5.0672000000000002E-2</v>
      </c>
      <c r="L70" s="334">
        <v>0.21395892763647292</v>
      </c>
      <c r="M70" s="334">
        <v>7.1576045484744527E-2</v>
      </c>
      <c r="N70" s="335">
        <v>1.51285654737222</v>
      </c>
      <c r="O70" s="335">
        <v>4.1655143922322573</v>
      </c>
      <c r="P70" s="335">
        <v>17.494296052782147</v>
      </c>
      <c r="Q70" s="335">
        <v>30.151189707954675</v>
      </c>
      <c r="R70" s="335">
        <v>74.73531863615672</v>
      </c>
      <c r="S70" s="335">
        <v>48.328862756737053</v>
      </c>
      <c r="T70" s="334">
        <v>2.7906513823385701E-2</v>
      </c>
      <c r="U70" s="334">
        <v>5.9831560096167045E-2</v>
      </c>
      <c r="V70" s="334">
        <v>3.6916203574769824E-2</v>
      </c>
      <c r="W70" s="334">
        <v>0.37613202647005795</v>
      </c>
      <c r="X70" s="334">
        <v>1.0275118300474612E-3</v>
      </c>
      <c r="Y70" s="334">
        <v>0.64541139642752032</v>
      </c>
      <c r="Z70" s="334">
        <v>0.64541139642752032</v>
      </c>
      <c r="AA70" s="336">
        <v>0.13883834911386736</v>
      </c>
    </row>
    <row r="71" spans="1:27" ht="14">
      <c r="A71" s="247" t="s">
        <v>703</v>
      </c>
      <c r="B71" s="333">
        <v>34</v>
      </c>
      <c r="C71" s="334">
        <v>0.15421952380952383</v>
      </c>
      <c r="D71" s="334">
        <v>6.2439260586428812E-2</v>
      </c>
      <c r="E71" s="334">
        <v>0.12190476293616061</v>
      </c>
      <c r="F71" s="334">
        <v>0.22522512776040074</v>
      </c>
      <c r="G71" s="335">
        <v>0.71324860781282196</v>
      </c>
      <c r="H71" s="335">
        <v>0.93601519568329949</v>
      </c>
      <c r="I71" s="334">
        <v>8.1246277727475155E-2</v>
      </c>
      <c r="J71" s="334">
        <v>0.44582095697030294</v>
      </c>
      <c r="K71" s="334">
        <v>5.0672000000000002E-2</v>
      </c>
      <c r="L71" s="334">
        <v>0.31203103723478104</v>
      </c>
      <c r="M71" s="334">
        <v>6.7753344955776618E-2</v>
      </c>
      <c r="N71" s="335">
        <v>2.3410772864573137</v>
      </c>
      <c r="O71" s="335">
        <v>1.2705674096880286</v>
      </c>
      <c r="P71" s="335">
        <v>14.787289857638292</v>
      </c>
      <c r="Q71" s="335">
        <v>21.726328524343721</v>
      </c>
      <c r="R71" s="335">
        <v>7.4786700332501184</v>
      </c>
      <c r="S71" s="335">
        <v>54.826415084048953</v>
      </c>
      <c r="T71" s="334">
        <v>0.11033017274197375</v>
      </c>
      <c r="U71" s="334">
        <v>2.1234037022938732E-2</v>
      </c>
      <c r="V71" s="334">
        <v>2.2505842452300528E-2</v>
      </c>
      <c r="W71" s="334">
        <v>0.461778096222205</v>
      </c>
      <c r="X71" s="334">
        <v>0.34384064730254443</v>
      </c>
      <c r="Y71" s="334">
        <v>6.7783398977080522E-2</v>
      </c>
      <c r="Z71" s="334">
        <v>6.7783398977080522E-2</v>
      </c>
      <c r="AA71" s="336">
        <v>5.8382588604718601E-2</v>
      </c>
    </row>
    <row r="72" spans="1:27" ht="14">
      <c r="A72" s="247" t="s">
        <v>704</v>
      </c>
      <c r="B72" s="333">
        <v>14</v>
      </c>
      <c r="C72" s="334">
        <v>7.3341666666666624E-3</v>
      </c>
      <c r="D72" s="334">
        <v>0.11938529703816875</v>
      </c>
      <c r="E72" s="334">
        <v>0.34946565244857392</v>
      </c>
      <c r="F72" s="334">
        <v>0.24093993307490971</v>
      </c>
      <c r="G72" s="335">
        <v>1.3176570660974836</v>
      </c>
      <c r="H72" s="335">
        <v>1.5353094340291733</v>
      </c>
      <c r="I72" s="334">
        <v>0.10797480075770113</v>
      </c>
      <c r="J72" s="334">
        <v>0.45883505690255144</v>
      </c>
      <c r="K72" s="334">
        <v>5.2913000000000002E-2</v>
      </c>
      <c r="L72" s="334">
        <v>0.18889906581311239</v>
      </c>
      <c r="M72" s="334">
        <v>9.5074873965241363E-2</v>
      </c>
      <c r="N72" s="335">
        <v>3.4070573133550934</v>
      </c>
      <c r="O72" s="335">
        <v>2.2589926761243846</v>
      </c>
      <c r="P72" s="335">
        <v>14.422181645255634</v>
      </c>
      <c r="Q72" s="335">
        <v>19.102771953139438</v>
      </c>
      <c r="R72" s="335">
        <v>132.20440711686419</v>
      </c>
      <c r="S72" s="335">
        <v>23.465276718235696</v>
      </c>
      <c r="T72" s="334">
        <v>9.607380193514467E-2</v>
      </c>
      <c r="U72" s="334">
        <v>2.4202085322865427E-2</v>
      </c>
      <c r="V72" s="334">
        <v>5.7548496494318348E-2</v>
      </c>
      <c r="W72" s="334">
        <v>0.73515547992216057</v>
      </c>
      <c r="X72" s="334" t="s">
        <v>93</v>
      </c>
      <c r="Y72" s="334">
        <v>0.54007474054775628</v>
      </c>
      <c r="Z72" s="334">
        <v>0.54007474054775628</v>
      </c>
      <c r="AA72" s="336">
        <v>0.11809039346442812</v>
      </c>
    </row>
    <row r="73" spans="1:27" ht="14">
      <c r="A73" s="247" t="s">
        <v>705</v>
      </c>
      <c r="B73" s="333">
        <v>62</v>
      </c>
      <c r="C73" s="334">
        <v>0.10115166666666661</v>
      </c>
      <c r="D73" s="334">
        <v>0.10097162945597332</v>
      </c>
      <c r="E73" s="334">
        <v>0.16113990666952829</v>
      </c>
      <c r="F73" s="334">
        <v>0.23404243925227916</v>
      </c>
      <c r="G73" s="335">
        <v>0.80163202888309548</v>
      </c>
      <c r="H73" s="335">
        <v>0.94843381457270293</v>
      </c>
      <c r="I73" s="334">
        <v>8.1800148129942546E-2</v>
      </c>
      <c r="J73" s="334">
        <v>0.39292351639796591</v>
      </c>
      <c r="K73" s="334">
        <v>5.0672000000000002E-2</v>
      </c>
      <c r="L73" s="334">
        <v>0.22019000804841693</v>
      </c>
      <c r="M73" s="334">
        <v>7.2156673920720837E-2</v>
      </c>
      <c r="N73" s="335">
        <v>1.8301306024273734</v>
      </c>
      <c r="O73" s="335">
        <v>1.8948021917754749</v>
      </c>
      <c r="P73" s="335">
        <v>13.708307327996817</v>
      </c>
      <c r="Q73" s="335">
        <v>17.109089618224083</v>
      </c>
      <c r="R73" s="335">
        <v>4.0417073599234126</v>
      </c>
      <c r="S73" s="335">
        <v>28.796599056717547</v>
      </c>
      <c r="T73" s="334">
        <v>0.17428163666187824</v>
      </c>
      <c r="U73" s="334">
        <v>5.6154619953265678E-2</v>
      </c>
      <c r="V73" s="334">
        <v>0.115792693288742</v>
      </c>
      <c r="W73" s="334">
        <v>1.5220675878349881</v>
      </c>
      <c r="X73" s="334">
        <v>0.18333732427332741</v>
      </c>
      <c r="Y73" s="334">
        <v>0.35151398729796973</v>
      </c>
      <c r="Z73" s="334">
        <v>0.35151398729796979</v>
      </c>
      <c r="AA73" s="336">
        <v>0.10321020613816267</v>
      </c>
    </row>
    <row r="74" spans="1:27" ht="14">
      <c r="A74" s="247" t="s">
        <v>706</v>
      </c>
      <c r="B74" s="333">
        <v>23</v>
      </c>
      <c r="C74" s="334">
        <v>9.9217647058823535E-2</v>
      </c>
      <c r="D74" s="334">
        <v>6.8023334450250744E-2</v>
      </c>
      <c r="E74" s="334">
        <v>0.13590825384807578</v>
      </c>
      <c r="F74" s="334">
        <v>0.19932835478876912</v>
      </c>
      <c r="G74" s="335">
        <v>0.78092803999844673</v>
      </c>
      <c r="H74" s="335">
        <v>0.80524053959128561</v>
      </c>
      <c r="I74" s="334">
        <v>7.5413728065771346E-2</v>
      </c>
      <c r="J74" s="334">
        <v>0.43342745933177196</v>
      </c>
      <c r="K74" s="334">
        <v>5.0672000000000002E-2</v>
      </c>
      <c r="L74" s="334">
        <v>7.3591004780891797E-2</v>
      </c>
      <c r="M74" s="334">
        <v>7.2660708588831294E-2</v>
      </c>
      <c r="N74" s="335">
        <v>3.5063183990070903</v>
      </c>
      <c r="O74" s="335">
        <v>2.1092145816583989</v>
      </c>
      <c r="P74" s="335">
        <v>17.37850333571857</v>
      </c>
      <c r="Q74" s="335">
        <v>32.437651793285305</v>
      </c>
      <c r="R74" s="335">
        <v>7.192707124449913</v>
      </c>
      <c r="S74" s="335">
        <v>51.004021101765886</v>
      </c>
      <c r="T74" s="334">
        <v>-1.0928698694420832E-3</v>
      </c>
      <c r="U74" s="334">
        <v>8.1751214514873771E-2</v>
      </c>
      <c r="V74" s="334">
        <v>4.8661672732136979E-2</v>
      </c>
      <c r="W74" s="334">
        <v>0.93965934455082523</v>
      </c>
      <c r="X74" s="334">
        <v>0.26052308288353043</v>
      </c>
      <c r="Y74" s="334">
        <v>0.11726860120191408</v>
      </c>
      <c r="Z74" s="334">
        <v>0.11726860120191407</v>
      </c>
      <c r="AA74" s="336">
        <v>7.1164331320580199E-2</v>
      </c>
    </row>
    <row r="75" spans="1:27" ht="14">
      <c r="A75" s="247" t="s">
        <v>707</v>
      </c>
      <c r="B75" s="333">
        <v>15</v>
      </c>
      <c r="C75" s="334">
        <v>-2.6340000000000013E-2</v>
      </c>
      <c r="D75" s="334">
        <v>2.2919042843655636E-2</v>
      </c>
      <c r="E75" s="334">
        <v>6.7632195602143341E-2</v>
      </c>
      <c r="F75" s="334">
        <v>0.16832507879333636</v>
      </c>
      <c r="G75" s="335">
        <v>0.84836111769195177</v>
      </c>
      <c r="H75" s="335">
        <v>1.1183037944931133</v>
      </c>
      <c r="I75" s="334">
        <v>8.937634923439286E-2</v>
      </c>
      <c r="J75" s="334">
        <v>0.49422948358524749</v>
      </c>
      <c r="K75" s="334">
        <v>5.2913000000000002E-2</v>
      </c>
      <c r="L75" s="334">
        <v>0.341889525326874</v>
      </c>
      <c r="M75" s="334">
        <v>7.2387311959413031E-2</v>
      </c>
      <c r="N75" s="335">
        <v>4.6478965875308882</v>
      </c>
      <c r="O75" s="335">
        <v>0.49009499125669137</v>
      </c>
      <c r="P75" s="335">
        <v>8.9415966127941466</v>
      </c>
      <c r="Q75" s="335">
        <v>26.533289407595309</v>
      </c>
      <c r="R75" s="335">
        <v>3.9348693863237081</v>
      </c>
      <c r="S75" s="335">
        <v>20.541451245026416</v>
      </c>
      <c r="T75" s="334">
        <v>6.1019594055181277E-4</v>
      </c>
      <c r="U75" s="334">
        <v>-1.2862784767552833E-3</v>
      </c>
      <c r="V75" s="334">
        <v>-1.9020964749503308E-2</v>
      </c>
      <c r="W75" s="334">
        <v>-0.986095767319352</v>
      </c>
      <c r="X75" s="334">
        <v>0.12897574047835317</v>
      </c>
      <c r="Y75" s="334">
        <v>0.37436918299785599</v>
      </c>
      <c r="Z75" s="334">
        <v>0.37436918299785593</v>
      </c>
      <c r="AA75" s="336">
        <v>1.7271129340585549E-2</v>
      </c>
    </row>
    <row r="76" spans="1:27" ht="14">
      <c r="A76" s="247" t="s">
        <v>797</v>
      </c>
      <c r="B76" s="333">
        <v>26</v>
      </c>
      <c r="C76" s="334">
        <v>0.131436</v>
      </c>
      <c r="D76" s="334">
        <v>0.4024828941128652</v>
      </c>
      <c r="E76" s="334">
        <v>5.1639531083079775E-2</v>
      </c>
      <c r="F76" s="334">
        <v>1.5307416234543993E-2</v>
      </c>
      <c r="G76" s="335">
        <v>0.44271597266059598</v>
      </c>
      <c r="H76" s="335">
        <v>0.62073902174481399</v>
      </c>
      <c r="I76" s="334">
        <v>6.7184960369818705E-2</v>
      </c>
      <c r="J76" s="334">
        <v>0.18768911101930999</v>
      </c>
      <c r="K76" s="334">
        <v>4.7306000000000001E-2</v>
      </c>
      <c r="L76" s="334">
        <v>0.36069480685134975</v>
      </c>
      <c r="M76" s="334">
        <v>5.5748965465593825E-2</v>
      </c>
      <c r="N76" s="335">
        <v>0.1358141102577872</v>
      </c>
      <c r="O76" s="335">
        <v>12.043634861795587</v>
      </c>
      <c r="P76" s="335">
        <v>16.726861437702844</v>
      </c>
      <c r="Q76" s="335">
        <v>31.16527146395935</v>
      </c>
      <c r="R76" s="335">
        <v>2.0756544756447797</v>
      </c>
      <c r="S76" s="335">
        <v>368.68693061769045</v>
      </c>
      <c r="T76" s="334">
        <v>1.2444391753042881E-2</v>
      </c>
      <c r="U76" s="334">
        <v>5.0373092759448714E-2</v>
      </c>
      <c r="V76" s="334">
        <v>-0.22854658296261168</v>
      </c>
      <c r="W76" s="334">
        <v>-0.61319319906341063</v>
      </c>
      <c r="X76" s="334">
        <v>6.3643754003510064E-2</v>
      </c>
      <c r="Y76" s="334">
        <v>1.6143339107636889</v>
      </c>
      <c r="Z76" s="334">
        <v>1.6143339107636889</v>
      </c>
      <c r="AA76" s="336">
        <v>0.38644408651223472</v>
      </c>
    </row>
    <row r="77" spans="1:27" ht="14">
      <c r="A77" s="247" t="s">
        <v>708</v>
      </c>
      <c r="B77" s="333">
        <v>94</v>
      </c>
      <c r="C77" s="334">
        <v>6.9604333333333324E-2</v>
      </c>
      <c r="D77" s="334">
        <v>7.7273544503436833E-2</v>
      </c>
      <c r="E77" s="334">
        <v>0.21539093465658196</v>
      </c>
      <c r="F77" s="334">
        <v>0.24414952499950698</v>
      </c>
      <c r="G77" s="335">
        <v>1.0018775790318082</v>
      </c>
      <c r="H77" s="335">
        <v>1.0893996802924664</v>
      </c>
      <c r="I77" s="334">
        <v>8.8087225741043995E-2</v>
      </c>
      <c r="J77" s="334">
        <v>0.53245167475582067</v>
      </c>
      <c r="K77" s="334">
        <v>5.2913000000000002E-2</v>
      </c>
      <c r="L77" s="334">
        <v>0.16500348484868904</v>
      </c>
      <c r="M77" s="334">
        <v>8.0100648568467603E-2</v>
      </c>
      <c r="N77" s="335">
        <v>2.9884471770895602</v>
      </c>
      <c r="O77" s="335">
        <v>1.6260838705735732</v>
      </c>
      <c r="P77" s="335">
        <v>11.467549343074285</v>
      </c>
      <c r="Q77" s="335">
        <v>20.017795946674621</v>
      </c>
      <c r="R77" s="335">
        <v>7.2542633395169673</v>
      </c>
      <c r="S77" s="335">
        <v>314.00976163491242</v>
      </c>
      <c r="T77" s="334">
        <v>9.8028796924800266E-2</v>
      </c>
      <c r="U77" s="334">
        <v>3.4673938140797285E-2</v>
      </c>
      <c r="V77" s="334">
        <v>1.5903178825340682E-2</v>
      </c>
      <c r="W77" s="334">
        <v>0.38365406026434762</v>
      </c>
      <c r="X77" s="334">
        <v>0.30115075589442497</v>
      </c>
      <c r="Y77" s="334">
        <v>0.29933168502542606</v>
      </c>
      <c r="Z77" s="334">
        <v>0.29933168502542606</v>
      </c>
      <c r="AA77" s="336">
        <v>8.075162903461014E-2</v>
      </c>
    </row>
    <row r="78" spans="1:27" ht="14">
      <c r="A78" s="247" t="s">
        <v>709</v>
      </c>
      <c r="B78" s="333">
        <v>3</v>
      </c>
      <c r="C78" s="334">
        <v>-0.13225000000000001</v>
      </c>
      <c r="D78" s="334">
        <v>2.2423698766480909E-2</v>
      </c>
      <c r="E78" s="334">
        <v>3.1681472594570922E-2</v>
      </c>
      <c r="F78" s="334" t="e">
        <v>#DIV/0!</v>
      </c>
      <c r="G78" s="335">
        <v>0.15435790814828812</v>
      </c>
      <c r="H78" s="335">
        <v>0.52943015741353394</v>
      </c>
      <c r="I78" s="334">
        <v>6.3112585020643611E-2</v>
      </c>
      <c r="J78" s="334">
        <v>0.50767160367361974</v>
      </c>
      <c r="K78" s="334">
        <v>5.2913000000000002E-2</v>
      </c>
      <c r="L78" s="334">
        <v>0.78188434296294884</v>
      </c>
      <c r="M78" s="334">
        <v>4.479472762848332E-2</v>
      </c>
      <c r="N78" s="335">
        <v>1.3941683441357997</v>
      </c>
      <c r="O78" s="335">
        <v>0.5884475951540894</v>
      </c>
      <c r="P78" s="335">
        <v>6.7440247169948808</v>
      </c>
      <c r="Q78" s="335">
        <v>22.841628600788916</v>
      </c>
      <c r="R78" s="335">
        <v>0.78914970658009753</v>
      </c>
      <c r="S78" s="335" t="e">
        <v>#DIV/0!</v>
      </c>
      <c r="T78" s="334">
        <v>0.12928145997819379</v>
      </c>
      <c r="U78" s="334">
        <v>5.0502596379427916E-2</v>
      </c>
      <c r="V78" s="334">
        <v>-3.2632866871333993E-4</v>
      </c>
      <c r="W78" s="334">
        <v>0.3864725146795398</v>
      </c>
      <c r="X78" s="334">
        <v>-0.3640800083778406</v>
      </c>
      <c r="Y78" s="334" t="e">
        <v>#DIV/0!</v>
      </c>
      <c r="Z78" s="334" t="e">
        <v>#DIV/0!</v>
      </c>
      <c r="AA78" s="336">
        <v>2.4946978567715397E-2</v>
      </c>
    </row>
    <row r="79" spans="1:27" ht="14">
      <c r="A79" s="247" t="s">
        <v>710</v>
      </c>
      <c r="B79" s="333">
        <v>66</v>
      </c>
      <c r="C79" s="334">
        <v>0.11177130434782612</v>
      </c>
      <c r="D79" s="334">
        <v>0.35327791914252643</v>
      </c>
      <c r="E79" s="334">
        <v>0.27226966835133587</v>
      </c>
      <c r="F79" s="334">
        <v>0.15790418212542343</v>
      </c>
      <c r="G79" s="335">
        <v>1.5046492754744247</v>
      </c>
      <c r="H79" s="335">
        <v>1.5181994029054893</v>
      </c>
      <c r="I79" s="334">
        <v>0.10721169336958483</v>
      </c>
      <c r="J79" s="334">
        <v>0.55827208180103249</v>
      </c>
      <c r="K79" s="334">
        <v>5.2913000000000002E-2</v>
      </c>
      <c r="L79" s="334">
        <v>2.5256621804536385E-2</v>
      </c>
      <c r="M79" s="334">
        <v>0.10550619089928288</v>
      </c>
      <c r="N79" s="335">
        <v>1.2066681380587509</v>
      </c>
      <c r="O79" s="335">
        <v>15.70064938278062</v>
      </c>
      <c r="P79" s="335">
        <v>34.753098805752828</v>
      </c>
      <c r="Q79" s="335">
        <v>44.298630998346304</v>
      </c>
      <c r="R79" s="335">
        <v>13.312176209461422</v>
      </c>
      <c r="S79" s="335">
        <v>100.18440334282509</v>
      </c>
      <c r="T79" s="334">
        <v>0.22617981053567593</v>
      </c>
      <c r="U79" s="334">
        <v>0.10548971231981431</v>
      </c>
      <c r="V79" s="334">
        <v>4.4119120786416277E-2</v>
      </c>
      <c r="W79" s="334">
        <v>0.35285798185003742</v>
      </c>
      <c r="X79" s="334">
        <v>0.31364715776513896</v>
      </c>
      <c r="Y79" s="334">
        <v>0.16392167187321499</v>
      </c>
      <c r="Z79" s="334">
        <v>0.16392167187321505</v>
      </c>
      <c r="AA79" s="336">
        <v>0.36466718438536783</v>
      </c>
    </row>
    <row r="80" spans="1:27" ht="14">
      <c r="A80" s="247" t="s">
        <v>711</v>
      </c>
      <c r="B80" s="333">
        <v>31</v>
      </c>
      <c r="C80" s="334">
        <v>9.3788076923076905E-2</v>
      </c>
      <c r="D80" s="334">
        <v>0.2617117457785153</v>
      </c>
      <c r="E80" s="334">
        <v>0.28404463068412095</v>
      </c>
      <c r="F80" s="334">
        <v>0.17065978345154367</v>
      </c>
      <c r="G80" s="335">
        <v>1.3916911563373942</v>
      </c>
      <c r="H80" s="335">
        <v>1.3972234247394333</v>
      </c>
      <c r="I80" s="334">
        <v>0.10181616474337873</v>
      </c>
      <c r="J80" s="334">
        <v>0.50077408619264041</v>
      </c>
      <c r="K80" s="334">
        <v>5.2913000000000002E-2</v>
      </c>
      <c r="L80" s="334">
        <v>4.6359019100179664E-2</v>
      </c>
      <c r="M80" s="334">
        <v>9.8935813300569247E-2</v>
      </c>
      <c r="N80" s="335">
        <v>1.8511086722832097</v>
      </c>
      <c r="O80" s="335">
        <v>7.6070090433977819</v>
      </c>
      <c r="P80" s="335">
        <v>24.7432463754865</v>
      </c>
      <c r="Q80" s="335">
        <v>28.810671952336421</v>
      </c>
      <c r="R80" s="335">
        <v>9.7025935862319965</v>
      </c>
      <c r="S80" s="335">
        <v>46.825234062928828</v>
      </c>
      <c r="T80" s="334">
        <v>0.29493566539261384</v>
      </c>
      <c r="U80" s="334">
        <v>6.3159190377094512E-2</v>
      </c>
      <c r="V80" s="334">
        <v>4.1368684423741087E-2</v>
      </c>
      <c r="W80" s="334">
        <v>0.27453102170954213</v>
      </c>
      <c r="X80" s="334">
        <v>0.35777973162747567</v>
      </c>
      <c r="Y80" s="334">
        <v>0.19356443544079521</v>
      </c>
      <c r="Z80" s="334">
        <v>0.19356443544079527</v>
      </c>
      <c r="AA80" s="336">
        <v>0.26863499535943702</v>
      </c>
    </row>
    <row r="81" spans="1:27" ht="14">
      <c r="A81" s="247" t="s">
        <v>712</v>
      </c>
      <c r="B81" s="333">
        <v>8</v>
      </c>
      <c r="C81" s="334">
        <v>-1.1799999999999996E-3</v>
      </c>
      <c r="D81" s="334">
        <v>0.12602123883804783</v>
      </c>
      <c r="E81" s="334">
        <v>0.11992332943837858</v>
      </c>
      <c r="F81" s="334">
        <v>0.20577998101466088</v>
      </c>
      <c r="G81" s="335">
        <v>0.66076679994905119</v>
      </c>
      <c r="H81" s="335">
        <v>0.7529325380371511</v>
      </c>
      <c r="I81" s="334">
        <v>7.308079119645694E-2</v>
      </c>
      <c r="J81" s="334">
        <v>0.50086763268384904</v>
      </c>
      <c r="K81" s="334">
        <v>5.2913000000000002E-2</v>
      </c>
      <c r="L81" s="334">
        <v>0.18400783731645468</v>
      </c>
      <c r="M81" s="334">
        <v>6.6935657880965671E-2</v>
      </c>
      <c r="N81" s="335">
        <v>0.93640072791678797</v>
      </c>
      <c r="O81" s="335">
        <v>1.7362537616576743</v>
      </c>
      <c r="P81" s="335">
        <v>7.9530074987797788</v>
      </c>
      <c r="Q81" s="335">
        <v>12.812285375545873</v>
      </c>
      <c r="R81" s="335">
        <v>1.4992122096709357</v>
      </c>
      <c r="S81" s="335">
        <v>18.873176612753507</v>
      </c>
      <c r="T81" s="334">
        <v>9.6277003710361617E-2</v>
      </c>
      <c r="U81" s="334">
        <v>0.11673421736064171</v>
      </c>
      <c r="V81" s="334">
        <v>4.8918883710612718E-2</v>
      </c>
      <c r="W81" s="334">
        <v>0.36708062720816004</v>
      </c>
      <c r="X81" s="334">
        <v>0.10153624613557122</v>
      </c>
      <c r="Y81" s="334">
        <v>0.14665103124784443</v>
      </c>
      <c r="Z81" s="334">
        <v>0.1466510312478444</v>
      </c>
      <c r="AA81" s="336">
        <v>0.13517329302988534</v>
      </c>
    </row>
    <row r="82" spans="1:27" ht="14">
      <c r="A82" s="247" t="s">
        <v>713</v>
      </c>
      <c r="B82" s="333">
        <v>11</v>
      </c>
      <c r="C82" s="334">
        <v>0.12427285714285714</v>
      </c>
      <c r="D82" s="334">
        <v>9.0349318831568326E-2</v>
      </c>
      <c r="E82" s="334">
        <v>0.20929696659653424</v>
      </c>
      <c r="F82" s="334">
        <v>0.18953067831189199</v>
      </c>
      <c r="G82" s="335">
        <v>1.0001868235248257</v>
      </c>
      <c r="H82" s="335">
        <v>1.0173183278612625</v>
      </c>
      <c r="I82" s="334">
        <v>8.4872397422612308E-2</v>
      </c>
      <c r="J82" s="334">
        <v>0.50082762060196895</v>
      </c>
      <c r="K82" s="334">
        <v>5.2913000000000002E-2</v>
      </c>
      <c r="L82" s="334">
        <v>0.1067020183928412</v>
      </c>
      <c r="M82" s="334">
        <v>8.0050784236195494E-2</v>
      </c>
      <c r="N82" s="335">
        <v>2.6221001112048636</v>
      </c>
      <c r="O82" s="335">
        <v>2.0409765218719707</v>
      </c>
      <c r="P82" s="335">
        <v>16.864739523873123</v>
      </c>
      <c r="Q82" s="335">
        <v>22.318821685004988</v>
      </c>
      <c r="R82" s="335">
        <v>6.0602994604913256</v>
      </c>
      <c r="S82" s="335">
        <v>24.474827662843577</v>
      </c>
      <c r="T82" s="334">
        <v>0.1655533897217753</v>
      </c>
      <c r="U82" s="334">
        <v>1.3260495520836418E-2</v>
      </c>
      <c r="V82" s="334">
        <v>3.9925912035346468E-3</v>
      </c>
      <c r="W82" s="334">
        <v>0.19105787060449961</v>
      </c>
      <c r="X82" s="334">
        <v>0.19489711934156381</v>
      </c>
      <c r="Y82" s="334">
        <v>0.64930701275809977</v>
      </c>
      <c r="Z82" s="334">
        <v>0.64930701275809977</v>
      </c>
      <c r="AA82" s="336">
        <v>9.1491963483865013E-2</v>
      </c>
    </row>
    <row r="83" spans="1:27" ht="14">
      <c r="A83" s="247" t="s">
        <v>714</v>
      </c>
      <c r="B83" s="333">
        <v>77</v>
      </c>
      <c r="C83" s="334">
        <v>0.16715064516129036</v>
      </c>
      <c r="D83" s="334">
        <v>0.33849712300310908</v>
      </c>
      <c r="E83" s="334">
        <v>0.27019166407730671</v>
      </c>
      <c r="F83" s="334">
        <v>0.22495566166846409</v>
      </c>
      <c r="G83" s="335">
        <v>1.0206917427212765</v>
      </c>
      <c r="H83" s="335">
        <v>1.0283112480847569</v>
      </c>
      <c r="I83" s="334">
        <v>8.5362681664580164E-2</v>
      </c>
      <c r="J83" s="334">
        <v>0.57061843706583615</v>
      </c>
      <c r="K83" s="334">
        <v>5.2913000000000002E-2</v>
      </c>
      <c r="L83" s="334">
        <v>2.0036431277270336E-2</v>
      </c>
      <c r="M83" s="334">
        <v>8.4447458925894961E-2</v>
      </c>
      <c r="N83" s="335">
        <v>1.3447422464090115</v>
      </c>
      <c r="O83" s="335">
        <v>9.1276446818775305</v>
      </c>
      <c r="P83" s="335">
        <v>22.014234590512519</v>
      </c>
      <c r="Q83" s="335">
        <v>26.976060609081149</v>
      </c>
      <c r="R83" s="335">
        <v>9.098095158592308</v>
      </c>
      <c r="S83" s="335">
        <v>39.340287731341554</v>
      </c>
      <c r="T83" s="334">
        <v>7.2479517989072248E-2</v>
      </c>
      <c r="U83" s="334">
        <v>0.22942390587002706</v>
      </c>
      <c r="V83" s="334">
        <v>0.1952111132285167</v>
      </c>
      <c r="W83" s="334">
        <v>0.82363942303646154</v>
      </c>
      <c r="X83" s="334">
        <v>0.36508850605050824</v>
      </c>
      <c r="Y83" s="334">
        <v>8.3369336651674078E-2</v>
      </c>
      <c r="Z83" s="334">
        <v>8.336933665167412E-2</v>
      </c>
      <c r="AA83" s="336">
        <v>0.36000530191567459</v>
      </c>
    </row>
    <row r="84" spans="1:27" ht="14">
      <c r="A84" s="247" t="s">
        <v>715</v>
      </c>
      <c r="B84" s="333">
        <v>29</v>
      </c>
      <c r="C84" s="334">
        <v>0.29179500000000003</v>
      </c>
      <c r="D84" s="334">
        <v>3.6861419975932612E-2</v>
      </c>
      <c r="E84" s="334">
        <v>3.4347801967415575E-2</v>
      </c>
      <c r="F84" s="334">
        <v>0.17146716153692687</v>
      </c>
      <c r="G84" s="335">
        <v>1.5905250877083126</v>
      </c>
      <c r="H84" s="335">
        <v>1.6886761161660595</v>
      </c>
      <c r="I84" s="334">
        <v>0.11481495478100626</v>
      </c>
      <c r="J84" s="334">
        <v>0.52612315182151104</v>
      </c>
      <c r="K84" s="334">
        <v>5.2913000000000002E-2</v>
      </c>
      <c r="L84" s="334">
        <v>0.10951941738377791</v>
      </c>
      <c r="M84" s="334">
        <v>0.10658673852546652</v>
      </c>
      <c r="N84" s="335">
        <v>1.3500967702032756</v>
      </c>
      <c r="O84" s="335">
        <v>9.5610366186830369</v>
      </c>
      <c r="P84" s="335">
        <v>30.260603846268271</v>
      </c>
      <c r="Q84" s="335">
        <v>172.98954205996642</v>
      </c>
      <c r="R84" s="335">
        <v>10.855737135544949</v>
      </c>
      <c r="S84" s="335">
        <v>67.211436504465823</v>
      </c>
      <c r="T84" s="334">
        <v>0.14797882069795426</v>
      </c>
      <c r="U84" s="334">
        <v>0.33668277118789747</v>
      </c>
      <c r="V84" s="334">
        <v>0.26011127110194243</v>
      </c>
      <c r="W84" s="334">
        <v>14.14213936786985</v>
      </c>
      <c r="X84" s="334">
        <v>-1.469962217495586E-2</v>
      </c>
      <c r="Y84" s="334">
        <v>2.2003390875462395E-4</v>
      </c>
      <c r="Z84" s="334">
        <v>2.2003390875457995E-4</v>
      </c>
      <c r="AA84" s="336">
        <v>4.7049007705717738E-2</v>
      </c>
    </row>
    <row r="85" spans="1:27" ht="14">
      <c r="A85" s="247" t="s">
        <v>716</v>
      </c>
      <c r="B85" s="333">
        <v>309</v>
      </c>
      <c r="C85" s="334">
        <v>0.19564499999999993</v>
      </c>
      <c r="D85" s="334">
        <v>0.32982513736047653</v>
      </c>
      <c r="E85" s="334">
        <v>0.29318429492833842</v>
      </c>
      <c r="F85" s="334">
        <v>0.18011182809869461</v>
      </c>
      <c r="G85" s="335">
        <v>1.2481994174665423</v>
      </c>
      <c r="H85" s="335">
        <v>1.2766481780781751</v>
      </c>
      <c r="I85" s="334">
        <v>9.6438508742286613E-2</v>
      </c>
      <c r="J85" s="334">
        <v>0.5678932632947824</v>
      </c>
      <c r="K85" s="334">
        <v>5.2913000000000002E-2</v>
      </c>
      <c r="L85" s="334">
        <v>5.2825188757969752E-2</v>
      </c>
      <c r="M85" s="334">
        <v>9.3440480724001046E-2</v>
      </c>
      <c r="N85" s="335">
        <v>1.5381715801685372</v>
      </c>
      <c r="O85" s="335">
        <v>11.408763673096576</v>
      </c>
      <c r="P85" s="335">
        <v>24.483535769825444</v>
      </c>
      <c r="Q85" s="335">
        <v>32.412339491361159</v>
      </c>
      <c r="R85" s="335">
        <v>9.1370896769940284</v>
      </c>
      <c r="S85" s="335">
        <v>79.174208686990298</v>
      </c>
      <c r="T85" s="334">
        <v>0.10046216066901616</v>
      </c>
      <c r="U85" s="334">
        <v>0.17788285347207133</v>
      </c>
      <c r="V85" s="334">
        <v>0.17820691047928386</v>
      </c>
      <c r="W85" s="334">
        <v>0.73778744732916368</v>
      </c>
      <c r="X85" s="334">
        <v>0.29624894691289277</v>
      </c>
      <c r="Y85" s="334">
        <v>0.20984272413063565</v>
      </c>
      <c r="Z85" s="334">
        <v>0.20984272413063565</v>
      </c>
      <c r="AA85" s="336">
        <v>0.34449305784609674</v>
      </c>
    </row>
    <row r="86" spans="1:27" ht="14">
      <c r="A86" s="247" t="s">
        <v>717</v>
      </c>
      <c r="B86" s="333">
        <v>19</v>
      </c>
      <c r="C86" s="334">
        <v>0.11373529411764703</v>
      </c>
      <c r="D86" s="334">
        <v>4.0959179638417088E-2</v>
      </c>
      <c r="E86" s="334">
        <v>6.720259161412713E-2</v>
      </c>
      <c r="F86" s="334">
        <v>0.20550381998555636</v>
      </c>
      <c r="G86" s="335">
        <v>0.94494297510184955</v>
      </c>
      <c r="H86" s="335">
        <v>1.062846247426205</v>
      </c>
      <c r="I86" s="334">
        <v>8.6902942635208744E-2</v>
      </c>
      <c r="J86" s="334">
        <v>0.38509854793902265</v>
      </c>
      <c r="K86" s="334">
        <v>5.0672000000000002E-2</v>
      </c>
      <c r="L86" s="334">
        <v>0.19036813609339581</v>
      </c>
      <c r="M86" s="334">
        <v>7.7594142068806174E-2</v>
      </c>
      <c r="N86" s="335">
        <v>1.8036827756232885</v>
      </c>
      <c r="O86" s="335">
        <v>1.1692375062240556</v>
      </c>
      <c r="P86" s="335">
        <v>11.590977789930404</v>
      </c>
      <c r="Q86" s="335">
        <v>24.559637652919093</v>
      </c>
      <c r="R86" s="335">
        <v>1.8758162820537509</v>
      </c>
      <c r="S86" s="335">
        <v>47.575359734833086</v>
      </c>
      <c r="T86" s="334">
        <v>0.21605213461055187</v>
      </c>
      <c r="U86" s="334">
        <v>6.5231828462459521E-2</v>
      </c>
      <c r="V86" s="334">
        <v>5.6934034399160324E-2</v>
      </c>
      <c r="W86" s="334">
        <v>2.1148871304839734</v>
      </c>
      <c r="X86" s="334">
        <v>3.679172566231069E-2</v>
      </c>
      <c r="Y86" s="334">
        <v>0.65060396481922322</v>
      </c>
      <c r="Z86" s="334">
        <v>0.65060396481922322</v>
      </c>
      <c r="AA86" s="336">
        <v>4.106902683477847E-2</v>
      </c>
    </row>
    <row r="87" spans="1:27" ht="14">
      <c r="A87" s="247" t="s">
        <v>718</v>
      </c>
      <c r="B87" s="333">
        <v>12</v>
      </c>
      <c r="C87" s="334">
        <v>3.7001428571428574E-2</v>
      </c>
      <c r="D87" s="334">
        <v>0.20980028345141027</v>
      </c>
      <c r="E87" s="334">
        <v>0.10372019614469251</v>
      </c>
      <c r="F87" s="334">
        <v>0.22927244748690737</v>
      </c>
      <c r="G87" s="335">
        <v>0.39242083985345116</v>
      </c>
      <c r="H87" s="335">
        <v>0.53813527366401381</v>
      </c>
      <c r="I87" s="334">
        <v>6.3500833205415025E-2</v>
      </c>
      <c r="J87" s="334">
        <v>0.40180999688678365</v>
      </c>
      <c r="K87" s="334">
        <v>5.0672000000000002E-2</v>
      </c>
      <c r="L87" s="334">
        <v>0.3418744765076534</v>
      </c>
      <c r="M87" s="334">
        <v>5.478411670071081E-2</v>
      </c>
      <c r="N87" s="335">
        <v>0.54775576074167498</v>
      </c>
      <c r="O87" s="335">
        <v>3.7170394759116512</v>
      </c>
      <c r="P87" s="335">
        <v>8.9741750927172372</v>
      </c>
      <c r="Q87" s="335">
        <v>18.830186727379285</v>
      </c>
      <c r="R87" s="335">
        <v>3.4718993641277298</v>
      </c>
      <c r="S87" s="335">
        <v>107.13575943262582</v>
      </c>
      <c r="T87" s="334">
        <v>0.12071904971756112</v>
      </c>
      <c r="U87" s="334">
        <v>0.11640848191499424</v>
      </c>
      <c r="V87" s="334">
        <v>3.8185464232577872E-3</v>
      </c>
      <c r="W87" s="334">
        <v>0.16420320614543388</v>
      </c>
      <c r="X87" s="334">
        <v>0.16061396496184466</v>
      </c>
      <c r="Y87" s="334">
        <v>0.5144702760836396</v>
      </c>
      <c r="Z87" s="334">
        <v>0.5144702760836396</v>
      </c>
      <c r="AA87" s="336">
        <v>0.19749991338421513</v>
      </c>
    </row>
    <row r="88" spans="1:27" ht="14">
      <c r="A88" s="247" t="s">
        <v>719</v>
      </c>
      <c r="B88" s="333">
        <v>57</v>
      </c>
      <c r="C88" s="334">
        <v>3.2719756097560976E-2</v>
      </c>
      <c r="D88" s="334">
        <v>0.20696764502165169</v>
      </c>
      <c r="E88" s="334">
        <v>0.25473749091127151</v>
      </c>
      <c r="F88" s="334">
        <v>0.16541221214562443</v>
      </c>
      <c r="G88" s="335">
        <v>0.88725121203588653</v>
      </c>
      <c r="H88" s="335">
        <v>0.92321957538773824</v>
      </c>
      <c r="I88" s="334">
        <v>8.0675593062293133E-2</v>
      </c>
      <c r="J88" s="334">
        <v>0.55263054617352825</v>
      </c>
      <c r="K88" s="334">
        <v>5.2913000000000002E-2</v>
      </c>
      <c r="L88" s="334">
        <v>8.44398133306591E-2</v>
      </c>
      <c r="M88" s="334">
        <v>7.721433392584677E-2</v>
      </c>
      <c r="N88" s="335">
        <v>2.5677137180211171</v>
      </c>
      <c r="O88" s="335">
        <v>6.5160940958665385</v>
      </c>
      <c r="P88" s="335">
        <v>24.073936204375784</v>
      </c>
      <c r="Q88" s="335">
        <v>30.863292873841207</v>
      </c>
      <c r="R88" s="335">
        <v>8.3711163649670315</v>
      </c>
      <c r="S88" s="335">
        <v>84.716084187085954</v>
      </c>
      <c r="T88" s="334">
        <v>0.22251839398668508</v>
      </c>
      <c r="U88" s="334">
        <v>2.8107684465974603E-2</v>
      </c>
      <c r="V88" s="334">
        <v>7.0725572966243974E-2</v>
      </c>
      <c r="W88" s="334">
        <v>0.46607193338596509</v>
      </c>
      <c r="X88" s="334">
        <v>0.24956560530270111</v>
      </c>
      <c r="Y88" s="334">
        <v>0.41449422695360683</v>
      </c>
      <c r="Z88" s="334">
        <v>0.41449422695360683</v>
      </c>
      <c r="AA88" s="336">
        <v>0.22011477780136901</v>
      </c>
    </row>
    <row r="89" spans="1:27" ht="14">
      <c r="A89" s="247" t="s">
        <v>720</v>
      </c>
      <c r="B89" s="333">
        <v>39</v>
      </c>
      <c r="C89" s="334">
        <v>0.13567500000000002</v>
      </c>
      <c r="D89" s="334">
        <v>0.20471219911027341</v>
      </c>
      <c r="E89" s="334">
        <v>0.12036566743047672</v>
      </c>
      <c r="F89" s="334">
        <v>0.18485174754181971</v>
      </c>
      <c r="G89" s="335">
        <v>0.38150035836387236</v>
      </c>
      <c r="H89" s="335">
        <v>0.62872015187456243</v>
      </c>
      <c r="I89" s="334">
        <v>6.7540918773605491E-2</v>
      </c>
      <c r="J89" s="334">
        <v>0.60287759924808859</v>
      </c>
      <c r="K89" s="334">
        <v>5.2913000000000002E-2</v>
      </c>
      <c r="L89" s="334">
        <v>0.4899603993254088</v>
      </c>
      <c r="M89" s="334">
        <v>5.3892499197613762E-2</v>
      </c>
      <c r="N89" s="335">
        <v>0.60287257772240466</v>
      </c>
      <c r="O89" s="335">
        <v>2.6148005630006752</v>
      </c>
      <c r="P89" s="335">
        <v>6.5351994740162294</v>
      </c>
      <c r="Q89" s="335">
        <v>12.216620378929447</v>
      </c>
      <c r="R89" s="335">
        <v>1.6363123432712194</v>
      </c>
      <c r="S89" s="335">
        <v>16.787715827388091</v>
      </c>
      <c r="T89" s="334">
        <v>-3.6879813951230425E-2</v>
      </c>
      <c r="U89" s="334">
        <v>0.16594862027510165</v>
      </c>
      <c r="V89" s="334">
        <v>9.0792852077584054E-3</v>
      </c>
      <c r="W89" s="334">
        <v>0.1195448837923946</v>
      </c>
      <c r="X89" s="334">
        <v>0.19817526096196145</v>
      </c>
      <c r="Y89" s="334">
        <v>0.47681709049527965</v>
      </c>
      <c r="Z89" s="334">
        <v>0.47681709049527965</v>
      </c>
      <c r="AA89" s="336">
        <v>0.20836369863901955</v>
      </c>
    </row>
    <row r="90" spans="1:27" ht="14">
      <c r="A90" s="247" t="s">
        <v>721</v>
      </c>
      <c r="B90" s="333">
        <v>10</v>
      </c>
      <c r="C90" s="334">
        <v>2.911E-2</v>
      </c>
      <c r="D90" s="334">
        <v>0.43538235748026255</v>
      </c>
      <c r="E90" s="334">
        <v>0.63077803505771479</v>
      </c>
      <c r="F90" s="334">
        <v>0.20903824828035658</v>
      </c>
      <c r="G90" s="335">
        <v>0.69029777393117975</v>
      </c>
      <c r="H90" s="335">
        <v>0.79431457970152297</v>
      </c>
      <c r="I90" s="334">
        <v>7.4926430254687926E-2</v>
      </c>
      <c r="J90" s="334">
        <v>0.65957987223902104</v>
      </c>
      <c r="K90" s="334">
        <v>6.0194999999999999E-2</v>
      </c>
      <c r="L90" s="334">
        <v>0.18678362555437486</v>
      </c>
      <c r="M90" s="334">
        <v>6.9363980217054505E-2</v>
      </c>
      <c r="N90" s="335">
        <v>1.8241696810329024</v>
      </c>
      <c r="O90" s="335">
        <v>6.3951929469887778</v>
      </c>
      <c r="P90" s="335">
        <v>13.460903542148296</v>
      </c>
      <c r="Q90" s="335">
        <v>14.631780590251608</v>
      </c>
      <c r="R90" s="335" t="s">
        <v>93</v>
      </c>
      <c r="S90" s="335">
        <v>23.208493270755834</v>
      </c>
      <c r="T90" s="334">
        <v>0.16911807070685669</v>
      </c>
      <c r="U90" s="334">
        <v>2.5026765477526983E-2</v>
      </c>
      <c r="V90" s="334">
        <v>-9.1008705967081886E-3</v>
      </c>
      <c r="W90" s="334">
        <v>2.3804720412749773E-2</v>
      </c>
      <c r="X90" s="334" t="s">
        <v>93</v>
      </c>
      <c r="Y90" s="334">
        <v>0.87604667677463188</v>
      </c>
      <c r="Z90" s="334">
        <v>0.87604667677463188</v>
      </c>
      <c r="AA90" s="336">
        <v>0.43786582652777911</v>
      </c>
    </row>
    <row r="91" spans="1:27" ht="14">
      <c r="A91" s="247" t="s">
        <v>722</v>
      </c>
      <c r="B91" s="333">
        <v>19</v>
      </c>
      <c r="C91" s="334">
        <v>9.1208333333333322E-2</v>
      </c>
      <c r="D91" s="334">
        <v>7.5672221486651092E-2</v>
      </c>
      <c r="E91" s="334">
        <v>0.13000798490840521</v>
      </c>
      <c r="F91" s="334">
        <v>0.15911874589829184</v>
      </c>
      <c r="G91" s="335">
        <v>0.71152664175643354</v>
      </c>
      <c r="H91" s="335">
        <v>0.85992192679131285</v>
      </c>
      <c r="I91" s="334">
        <v>7.7852517934892562E-2</v>
      </c>
      <c r="J91" s="334">
        <v>0.381329406156173</v>
      </c>
      <c r="K91" s="334">
        <v>5.0672000000000002E-2</v>
      </c>
      <c r="L91" s="334">
        <v>0.26712845060384988</v>
      </c>
      <c r="M91" s="334">
        <v>6.7207845080084982E-2</v>
      </c>
      <c r="N91" s="335">
        <v>1.9753481122837149</v>
      </c>
      <c r="O91" s="335">
        <v>1.6396952282383208</v>
      </c>
      <c r="P91" s="335">
        <v>12.549963074582672</v>
      </c>
      <c r="Q91" s="335">
        <v>21.450133764458144</v>
      </c>
      <c r="R91" s="335">
        <v>4.7872603760581089</v>
      </c>
      <c r="S91" s="335">
        <v>28.867828305704808</v>
      </c>
      <c r="T91" s="334">
        <v>6.9614779872660723E-2</v>
      </c>
      <c r="U91" s="334">
        <v>4.926841752620164E-2</v>
      </c>
      <c r="V91" s="334">
        <v>2.2045419101904377E-2</v>
      </c>
      <c r="W91" s="334">
        <v>0.51504794095036088</v>
      </c>
      <c r="X91" s="334">
        <v>0.36582087485719811</v>
      </c>
      <c r="Y91" s="334">
        <v>0.2912283098456141</v>
      </c>
      <c r="Z91" s="334">
        <v>0.2912283098456141</v>
      </c>
      <c r="AA91" s="336">
        <v>7.7057626633708659E-2</v>
      </c>
    </row>
    <row r="92" spans="1:27" ht="14">
      <c r="A92" s="247" t="s">
        <v>723</v>
      </c>
      <c r="B92" s="333">
        <v>4</v>
      </c>
      <c r="C92" s="334">
        <v>4.9100000000000005E-2</v>
      </c>
      <c r="D92" s="334">
        <v>0.37410886113426878</v>
      </c>
      <c r="E92" s="334">
        <v>0.14236959522310544</v>
      </c>
      <c r="F92" s="334">
        <v>0.22435743454239732</v>
      </c>
      <c r="G92" s="335">
        <v>0.81372225399778308</v>
      </c>
      <c r="H92" s="335">
        <v>0.97514574851548541</v>
      </c>
      <c r="I92" s="334">
        <v>8.2991500383790648E-2</v>
      </c>
      <c r="J92" s="334">
        <v>0.23898485836689182</v>
      </c>
      <c r="K92" s="334">
        <v>4.7306000000000001E-2</v>
      </c>
      <c r="L92" s="334">
        <v>0.21747572934841894</v>
      </c>
      <c r="M92" s="334">
        <v>7.2658793447523407E-2</v>
      </c>
      <c r="N92" s="335">
        <v>0.45813411025135731</v>
      </c>
      <c r="O92" s="335">
        <v>6.6655597035043339</v>
      </c>
      <c r="P92" s="335">
        <v>13.48817865261892</v>
      </c>
      <c r="Q92" s="335">
        <v>17.806399782875044</v>
      </c>
      <c r="R92" s="335">
        <v>5.834457605365392</v>
      </c>
      <c r="S92" s="335">
        <v>21.52936812241127</v>
      </c>
      <c r="T92" s="334">
        <v>1.5600286722712646E-2</v>
      </c>
      <c r="U92" s="334">
        <v>0.17861928989380352</v>
      </c>
      <c r="V92" s="334">
        <v>6.4676229284673564E-2</v>
      </c>
      <c r="W92" s="334">
        <v>0.20077787407250486</v>
      </c>
      <c r="X92" s="334">
        <v>0.29067477582274653</v>
      </c>
      <c r="Y92" s="334">
        <v>0.42695761777217583</v>
      </c>
      <c r="Z92" s="334">
        <v>0.42695761777217589</v>
      </c>
      <c r="AA92" s="336">
        <v>0.37433505844987286</v>
      </c>
    </row>
    <row r="93" spans="1:27" ht="14">
      <c r="A93" s="247" t="s">
        <v>724</v>
      </c>
      <c r="B93" s="333">
        <v>26</v>
      </c>
      <c r="C93" s="334">
        <v>3.3348823529411764E-2</v>
      </c>
      <c r="D93" s="334">
        <v>6.8918487160243666E-2</v>
      </c>
      <c r="E93" s="334">
        <v>9.2994574807696906E-2</v>
      </c>
      <c r="F93" s="334">
        <v>0.2456120559375066</v>
      </c>
      <c r="G93" s="335">
        <v>0.86885073802321711</v>
      </c>
      <c r="H93" s="335">
        <v>1.0113489285521289</v>
      </c>
      <c r="I93" s="334">
        <v>8.4606162213424957E-2</v>
      </c>
      <c r="J93" s="334">
        <v>0.35290917410983413</v>
      </c>
      <c r="K93" s="334">
        <v>5.0672000000000002E-2</v>
      </c>
      <c r="L93" s="334">
        <v>0.20147980773007479</v>
      </c>
      <c r="M93" s="334">
        <v>7.5216767530858333E-2</v>
      </c>
      <c r="N93" s="335">
        <v>1.4657207412194833</v>
      </c>
      <c r="O93" s="335">
        <v>1.7429114121474771</v>
      </c>
      <c r="P93" s="335">
        <v>10.412600818449748</v>
      </c>
      <c r="Q93" s="335">
        <v>23.81223099936394</v>
      </c>
      <c r="R93" s="335">
        <v>2.857861050952057</v>
      </c>
      <c r="S93" s="335">
        <v>37.422678665572782</v>
      </c>
      <c r="T93" s="334">
        <v>7.9939630291621308E-2</v>
      </c>
      <c r="U93" s="334">
        <v>0.12911005245808069</v>
      </c>
      <c r="V93" s="334">
        <v>5.0342453603063046E-2</v>
      </c>
      <c r="W93" s="334">
        <v>0.98712536305754151</v>
      </c>
      <c r="X93" s="334">
        <v>7.6027212050234716E-2</v>
      </c>
      <c r="Y93" s="334">
        <v>0.28369762464448572</v>
      </c>
      <c r="Z93" s="334">
        <v>0.28369762464448578</v>
      </c>
      <c r="AA93" s="336">
        <v>7.3047482952814879E-2</v>
      </c>
    </row>
    <row r="94" spans="1:27" ht="14">
      <c r="A94" s="247" t="s">
        <v>725</v>
      </c>
      <c r="B94" s="333">
        <v>14</v>
      </c>
      <c r="C94" s="334">
        <v>5.3321428571428561E-2</v>
      </c>
      <c r="D94" s="334">
        <v>0.23492112601720511</v>
      </c>
      <c r="E94" s="334">
        <v>5.9946515851166969E-2</v>
      </c>
      <c r="F94" s="334">
        <v>0.14465964484679661</v>
      </c>
      <c r="G94" s="335">
        <v>0.14911053505258812</v>
      </c>
      <c r="H94" s="335">
        <v>0.23943492788992651</v>
      </c>
      <c r="I94" s="334">
        <v>5.0178797783890727E-2</v>
      </c>
      <c r="J94" s="334">
        <v>0.14962031044448046</v>
      </c>
      <c r="K94" s="334">
        <v>4.7306000000000001E-2</v>
      </c>
      <c r="L94" s="334">
        <v>0.44898811821814344</v>
      </c>
      <c r="M94" s="334">
        <v>4.3578987732773501E-2</v>
      </c>
      <c r="N94" s="335">
        <v>0.29613329830902974</v>
      </c>
      <c r="O94" s="335">
        <v>5.2516060840183618</v>
      </c>
      <c r="P94" s="335">
        <v>13.727015038769659</v>
      </c>
      <c r="Q94" s="335">
        <v>22.630883778618987</v>
      </c>
      <c r="R94" s="335">
        <v>1.8101871360291144</v>
      </c>
      <c r="S94" s="335">
        <v>19.920098071696465</v>
      </c>
      <c r="T94" s="334">
        <v>0.20049022730299695</v>
      </c>
      <c r="U94" s="334">
        <v>0.47225698962713442</v>
      </c>
      <c r="V94" s="334">
        <v>0.33575854940367816</v>
      </c>
      <c r="W94" s="334">
        <v>1.7230109546789445</v>
      </c>
      <c r="X94" s="334">
        <v>0.10415514586399638</v>
      </c>
      <c r="Y94" s="334">
        <v>0.65402724700253789</v>
      </c>
      <c r="Z94" s="334">
        <v>0.65402724700253789</v>
      </c>
      <c r="AA94" s="336">
        <v>0.23205483866166682</v>
      </c>
    </row>
    <row r="95" spans="1:27" ht="14">
      <c r="A95" s="247" t="s">
        <v>726</v>
      </c>
      <c r="B95" s="333">
        <v>14</v>
      </c>
      <c r="C95" s="334">
        <v>0.1329741666666667</v>
      </c>
      <c r="D95" s="334">
        <v>0.3371569629910201</v>
      </c>
      <c r="E95" s="334">
        <v>7.2506609551747092E-2</v>
      </c>
      <c r="F95" s="334">
        <v>0.15939529259241006</v>
      </c>
      <c r="G95" s="335">
        <v>0.28247289345133525</v>
      </c>
      <c r="H95" s="335">
        <v>0.4126827948416138</v>
      </c>
      <c r="I95" s="334">
        <v>5.7905652649935975E-2</v>
      </c>
      <c r="J95" s="334">
        <v>0.29598509122604388</v>
      </c>
      <c r="K95" s="334">
        <v>4.7306000000000001E-2</v>
      </c>
      <c r="L95" s="334">
        <v>0.38408264480373644</v>
      </c>
      <c r="M95" s="334">
        <v>4.9292156627376238E-2</v>
      </c>
      <c r="N95" s="335">
        <v>0.24282143950125415</v>
      </c>
      <c r="O95" s="335">
        <v>7.156354779193479</v>
      </c>
      <c r="P95" s="335">
        <v>14.138003748298299</v>
      </c>
      <c r="Q95" s="335">
        <v>21.084502922439725</v>
      </c>
      <c r="R95" s="335">
        <v>1.9952183180116347</v>
      </c>
      <c r="S95" s="335">
        <v>23.065743309076115</v>
      </c>
      <c r="T95" s="334">
        <v>0.12542693126586235</v>
      </c>
      <c r="U95" s="334">
        <v>0.55839553736485592</v>
      </c>
      <c r="V95" s="334">
        <v>0.43724649234785529</v>
      </c>
      <c r="W95" s="334">
        <v>1.6217760551676135</v>
      </c>
      <c r="X95" s="334">
        <v>0.17212372991864594</v>
      </c>
      <c r="Y95" s="334">
        <v>0.5643624413230548</v>
      </c>
      <c r="Z95" s="334">
        <v>0.34833423984414624</v>
      </c>
      <c r="AA95" s="336">
        <v>0.33631527867304256</v>
      </c>
    </row>
    <row r="96" spans="1:27" ht="14">
      <c r="A96" s="247" t="s">
        <v>798</v>
      </c>
      <c r="B96" s="333">
        <v>5994</v>
      </c>
      <c r="C96" s="334">
        <v>0.1276619611360236</v>
      </c>
      <c r="D96" s="334">
        <v>0.12817522849680138</v>
      </c>
      <c r="E96" s="334">
        <v>8.9559104141930329E-2</v>
      </c>
      <c r="F96" s="334">
        <v>0.19379807932998466</v>
      </c>
      <c r="G96" s="335">
        <v>0.75571686566929863</v>
      </c>
      <c r="H96" s="335">
        <v>0.91211093665534659</v>
      </c>
      <c r="I96" s="334">
        <v>8.0180147774828459E-2</v>
      </c>
      <c r="J96" s="334">
        <v>0.48066562851919736</v>
      </c>
      <c r="K96" s="334">
        <v>5.2913000000000002E-2</v>
      </c>
      <c r="L96" s="334">
        <v>0.26019770295975647</v>
      </c>
      <c r="M96" s="334">
        <v>6.9643338293376461E-2</v>
      </c>
      <c r="N96" s="335">
        <v>0.82178503320495477</v>
      </c>
      <c r="O96" s="335">
        <v>3.9663360260675939</v>
      </c>
      <c r="P96" s="335">
        <v>19.731927657530765</v>
      </c>
      <c r="Q96" s="335">
        <v>29.124353529113705</v>
      </c>
      <c r="R96" s="335">
        <v>4.6051579811248349</v>
      </c>
      <c r="S96" s="335">
        <v>57.863854721168181</v>
      </c>
      <c r="T96" s="334">
        <v>-0.21855771497751103</v>
      </c>
      <c r="U96" s="334">
        <v>6.5746019522813434E-2</v>
      </c>
      <c r="V96" s="334">
        <v>4.2312134914979808E-2</v>
      </c>
      <c r="W96" s="334">
        <v>0.50822674763435771</v>
      </c>
      <c r="X96" s="334">
        <v>0.17212372991864594</v>
      </c>
      <c r="Y96" s="334">
        <v>0.3483342398441463</v>
      </c>
      <c r="Z96" s="334">
        <v>0.34833423984414624</v>
      </c>
      <c r="AA96" s="336">
        <v>0.12934935155646737</v>
      </c>
    </row>
    <row r="97" spans="1:27" ht="14">
      <c r="A97" s="247" t="s">
        <v>799</v>
      </c>
      <c r="B97" s="333">
        <v>4822</v>
      </c>
      <c r="C97" s="334">
        <v>0.13745559399824456</v>
      </c>
      <c r="D97" s="334">
        <v>0.13135588884455865</v>
      </c>
      <c r="E97" s="334">
        <v>0.150709519195417</v>
      </c>
      <c r="F97" s="334">
        <v>0.19415953892753623</v>
      </c>
      <c r="G97" s="335">
        <v>0.90096752794924251</v>
      </c>
      <c r="H97" s="335">
        <v>0.99129597195640873</v>
      </c>
      <c r="I97" s="334">
        <v>8.3711800349255822E-2</v>
      </c>
      <c r="J97" s="334">
        <v>0.52764819472250257</v>
      </c>
      <c r="K97" s="334">
        <v>5.2913000000000002E-2</v>
      </c>
      <c r="L97" s="334">
        <v>0.1473976156754532</v>
      </c>
      <c r="M97" s="334">
        <v>7.7222318102552381E-2</v>
      </c>
      <c r="N97" s="335">
        <v>1.433775561214941</v>
      </c>
      <c r="O97" s="335">
        <v>3.4603092775122111</v>
      </c>
      <c r="P97" s="335">
        <v>16.954952138077893</v>
      </c>
      <c r="Q97" s="335">
        <v>25.696738697994942</v>
      </c>
      <c r="R97" s="335">
        <v>5.4390457713679021</v>
      </c>
      <c r="S97" s="335">
        <v>61.558599091216195</v>
      </c>
      <c r="T97" s="334">
        <v>9.3011952231370904E-2</v>
      </c>
      <c r="U97" s="334">
        <v>7.1769801580809769E-2</v>
      </c>
      <c r="V97" s="334">
        <v>4.2914511093872516E-2</v>
      </c>
      <c r="W97" s="334">
        <v>0.48808809966171485</v>
      </c>
      <c r="X97" s="334">
        <v>0.17602001210752405</v>
      </c>
      <c r="Y97" s="334">
        <v>0.36652875424674558</v>
      </c>
      <c r="Z97" s="334">
        <v>0.36652875424674558</v>
      </c>
      <c r="AA97" s="336">
        <v>0.13262075555894373</v>
      </c>
    </row>
  </sheetData>
  <phoneticPr fontId="4"/>
  <pageMargins left="0.75" right="0.75" top="1" bottom="1" header="0.5" footer="0.5"/>
  <pageSetup orientation="portrait" horizontalDpi="4294967292" verticalDpi="429496729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A97"/>
  <sheetViews>
    <sheetView workbookViewId="0">
      <selection sqref="A1:AA1048576"/>
    </sheetView>
  </sheetViews>
  <sheetFormatPr baseColWidth="10" defaultRowHeight="13"/>
  <cols>
    <col min="1" max="1" width="23.1640625" customWidth="1"/>
    <col min="2" max="23" width="10.6640625" style="153" customWidth="1"/>
    <col min="24" max="27" width="10.83203125" style="153"/>
  </cols>
  <sheetData>
    <row r="1" spans="1:27" s="258" customFormat="1" ht="84">
      <c r="A1" s="244" t="s">
        <v>91</v>
      </c>
      <c r="B1" s="210" t="s">
        <v>168</v>
      </c>
      <c r="C1" s="245" t="s">
        <v>156</v>
      </c>
      <c r="D1" s="245" t="s">
        <v>610</v>
      </c>
      <c r="E1" s="245" t="s">
        <v>175</v>
      </c>
      <c r="F1" s="210" t="s">
        <v>157</v>
      </c>
      <c r="G1" s="210" t="s">
        <v>205</v>
      </c>
      <c r="H1" s="210" t="s">
        <v>158</v>
      </c>
      <c r="I1" s="210" t="s">
        <v>159</v>
      </c>
      <c r="J1" s="210" t="s">
        <v>160</v>
      </c>
      <c r="K1" s="210" t="s">
        <v>161</v>
      </c>
      <c r="L1" s="210" t="s">
        <v>162</v>
      </c>
      <c r="M1" s="210" t="s">
        <v>141</v>
      </c>
      <c r="N1" s="246" t="s">
        <v>94</v>
      </c>
      <c r="O1" s="210" t="s">
        <v>163</v>
      </c>
      <c r="P1" s="210" t="s">
        <v>164</v>
      </c>
      <c r="Q1" s="210" t="s">
        <v>165</v>
      </c>
      <c r="R1" s="210" t="s">
        <v>166</v>
      </c>
      <c r="S1" s="210" t="s">
        <v>167</v>
      </c>
      <c r="T1" s="210" t="s">
        <v>489</v>
      </c>
      <c r="U1" s="210" t="s">
        <v>490</v>
      </c>
      <c r="V1" s="210" t="s">
        <v>491</v>
      </c>
      <c r="W1" s="210" t="s">
        <v>492</v>
      </c>
      <c r="X1" s="210" t="s">
        <v>476</v>
      </c>
      <c r="Y1" s="210" t="s">
        <v>493</v>
      </c>
      <c r="Z1" s="210" t="s">
        <v>494</v>
      </c>
      <c r="AA1" s="210" t="s">
        <v>617</v>
      </c>
    </row>
    <row r="2" spans="1:27" s="233" customFormat="1">
      <c r="A2" s="247" t="s">
        <v>92</v>
      </c>
      <c r="B2" s="333">
        <v>419</v>
      </c>
      <c r="C2" s="334">
        <v>7.6745944881889724E-2</v>
      </c>
      <c r="D2" s="334">
        <v>8.5452191351459691E-2</v>
      </c>
      <c r="E2" s="334">
        <v>0.17933657671183281</v>
      </c>
      <c r="F2" s="334">
        <v>0.28222868463993173</v>
      </c>
      <c r="G2" s="335">
        <v>1.0861161361977183</v>
      </c>
      <c r="H2" s="335">
        <v>1.2728318033391579</v>
      </c>
      <c r="I2" s="334">
        <v>0.1111604305279946</v>
      </c>
      <c r="J2" s="334">
        <v>0.47819715714303784</v>
      </c>
      <c r="K2" s="334">
        <v>6.0012999999999997E-2</v>
      </c>
      <c r="L2" s="334">
        <v>0.28853431721179496</v>
      </c>
      <c r="M2" s="334">
        <v>9.2009620591832417E-2</v>
      </c>
      <c r="N2" s="335">
        <v>2.59090949067257</v>
      </c>
      <c r="O2" s="335">
        <v>1.5220187046906082</v>
      </c>
      <c r="P2" s="335">
        <v>11.079833641430142</v>
      </c>
      <c r="Q2" s="335">
        <v>16.45856942463147</v>
      </c>
      <c r="R2" s="335">
        <v>2.4786290807945823</v>
      </c>
      <c r="S2" s="335">
        <v>41.3764398297482</v>
      </c>
      <c r="T2" s="334">
        <v>-7.3906325977555563E-3</v>
      </c>
      <c r="U2" s="334">
        <v>1.7323719750450769E-2</v>
      </c>
      <c r="V2" s="334">
        <v>5.7756919160610069E-3</v>
      </c>
      <c r="W2" s="334">
        <v>0.10941576590928989</v>
      </c>
      <c r="X2" s="334">
        <v>3.119124058113678E-2</v>
      </c>
      <c r="Y2" s="334">
        <v>1.9498371022863068</v>
      </c>
      <c r="Z2" s="334">
        <v>1.9498371022863068</v>
      </c>
      <c r="AA2" s="336">
        <v>8.6510347733042656E-2</v>
      </c>
    </row>
    <row r="3" spans="1:27" s="233" customFormat="1">
      <c r="A3" s="247" t="s">
        <v>637</v>
      </c>
      <c r="B3" s="333">
        <v>319</v>
      </c>
      <c r="C3" s="334">
        <v>0.10030113861386131</v>
      </c>
      <c r="D3" s="334">
        <v>9.1785083430522385E-2</v>
      </c>
      <c r="E3" s="334">
        <v>0.15462665289829919</v>
      </c>
      <c r="F3" s="334">
        <v>0.1751405846269328</v>
      </c>
      <c r="G3" s="335">
        <v>1.1666842994270814</v>
      </c>
      <c r="H3" s="335">
        <v>1.2309446363304495</v>
      </c>
      <c r="I3" s="334">
        <v>0.10880218302540431</v>
      </c>
      <c r="J3" s="334">
        <v>0.46535363162956778</v>
      </c>
      <c r="K3" s="334">
        <v>6.0012999999999997E-2</v>
      </c>
      <c r="L3" s="334">
        <v>0.11504765726345079</v>
      </c>
      <c r="M3" s="334">
        <v>0.10143746694099116</v>
      </c>
      <c r="N3" s="335">
        <v>2.4649199087213018</v>
      </c>
      <c r="O3" s="335">
        <v>3.3852461244136229</v>
      </c>
      <c r="P3" s="335">
        <v>22.398823127832127</v>
      </c>
      <c r="Q3" s="335">
        <v>33.084863167071894</v>
      </c>
      <c r="R3" s="335">
        <v>6.7223105530477003</v>
      </c>
      <c r="S3" s="335">
        <v>189.88009247824058</v>
      </c>
      <c r="T3" s="334">
        <v>0.39306133193805654</v>
      </c>
      <c r="U3" s="334">
        <v>3.8049227717846509E-2</v>
      </c>
      <c r="V3" s="334">
        <v>1.5151659723984323E-2</v>
      </c>
      <c r="W3" s="334">
        <v>0.70152598790295395</v>
      </c>
      <c r="X3" s="334">
        <v>0.184497379944047</v>
      </c>
      <c r="Y3" s="334">
        <v>0.37819311937208361</v>
      </c>
      <c r="Z3" s="334">
        <v>0.37819311937208355</v>
      </c>
      <c r="AA3" s="336">
        <v>9.389575724340557E-2</v>
      </c>
    </row>
    <row r="4" spans="1:27" s="233" customFormat="1">
      <c r="A4" s="247" t="s">
        <v>638</v>
      </c>
      <c r="B4" s="333">
        <v>150</v>
      </c>
      <c r="C4" s="334">
        <v>0.20654283464566922</v>
      </c>
      <c r="D4" s="334">
        <v>8.2094462694594139E-2</v>
      </c>
      <c r="E4" s="334">
        <v>9.0134672958008283E-2</v>
      </c>
      <c r="F4" s="334">
        <v>0.21456414973210686</v>
      </c>
      <c r="G4" s="335">
        <v>0.68406215520183722</v>
      </c>
      <c r="H4" s="335">
        <v>0.99062514092123299</v>
      </c>
      <c r="I4" s="334">
        <v>9.527219543386542E-2</v>
      </c>
      <c r="J4" s="334">
        <v>0.3363451647411857</v>
      </c>
      <c r="K4" s="334">
        <v>5.7771999999999997E-2</v>
      </c>
      <c r="L4" s="334">
        <v>0.44098281206655771</v>
      </c>
      <c r="M4" s="334">
        <v>7.2271876145347441E-2</v>
      </c>
      <c r="N4" s="335">
        <v>1.314039929397383</v>
      </c>
      <c r="O4" s="335">
        <v>1.3978076793413099</v>
      </c>
      <c r="P4" s="335">
        <v>9.0706372776643462</v>
      </c>
      <c r="Q4" s="335">
        <v>16.921627400528791</v>
      </c>
      <c r="R4" s="335">
        <v>2.482139376008782</v>
      </c>
      <c r="S4" s="335">
        <v>26.881788469690083</v>
      </c>
      <c r="T4" s="334">
        <v>-3.5294939558408699E-2</v>
      </c>
      <c r="U4" s="334">
        <v>9.9342114560492828E-2</v>
      </c>
      <c r="V4" s="334">
        <v>3.3353335133280301E-2</v>
      </c>
      <c r="W4" s="334">
        <v>0.47696584943571974</v>
      </c>
      <c r="X4" s="334">
        <v>0.17282238492059113</v>
      </c>
      <c r="Y4" s="334">
        <v>0.38739412180835797</v>
      </c>
      <c r="Z4" s="334">
        <v>0.38739412180835797</v>
      </c>
      <c r="AA4" s="336">
        <v>8.0857455606472672E-2</v>
      </c>
    </row>
    <row r="5" spans="1:27" s="233" customFormat="1">
      <c r="A5" s="247" t="s">
        <v>639</v>
      </c>
      <c r="B5" s="333">
        <v>1207</v>
      </c>
      <c r="C5" s="334">
        <v>9.6144455958549174E-2</v>
      </c>
      <c r="D5" s="334">
        <v>0.12594925179150976</v>
      </c>
      <c r="E5" s="334">
        <v>0.16066581496248522</v>
      </c>
      <c r="F5" s="334">
        <v>0.27636869989778229</v>
      </c>
      <c r="G5" s="335">
        <v>0.70526665913368036</v>
      </c>
      <c r="H5" s="335">
        <v>0.76241741500988791</v>
      </c>
      <c r="I5" s="334">
        <v>8.2424100465056688E-2</v>
      </c>
      <c r="J5" s="334">
        <v>0.40912735142670881</v>
      </c>
      <c r="K5" s="334">
        <v>5.7771999999999997E-2</v>
      </c>
      <c r="L5" s="334">
        <v>0.15757308057538627</v>
      </c>
      <c r="M5" s="334">
        <v>7.6230082794932777E-2</v>
      </c>
      <c r="N5" s="335">
        <v>1.5206365780257243</v>
      </c>
      <c r="O5" s="335">
        <v>2.3109205198120835</v>
      </c>
      <c r="P5" s="335">
        <v>14.048028010549844</v>
      </c>
      <c r="Q5" s="335">
        <v>17.703043308257335</v>
      </c>
      <c r="R5" s="335">
        <v>3.2869236841684875</v>
      </c>
      <c r="S5" s="335">
        <v>59.310109293684498</v>
      </c>
      <c r="T5" s="334">
        <v>0.22335672657941566</v>
      </c>
      <c r="U5" s="334">
        <v>4.3508277384980983E-2</v>
      </c>
      <c r="V5" s="334">
        <v>2.0751623259125933E-2</v>
      </c>
      <c r="W5" s="334">
        <v>0.3984749537560307</v>
      </c>
      <c r="X5" s="334">
        <v>0.13544441769377696</v>
      </c>
      <c r="Y5" s="334">
        <v>0.49506428414427039</v>
      </c>
      <c r="Z5" s="334">
        <v>0.49506428414427039</v>
      </c>
      <c r="AA5" s="336">
        <v>0.12717972778900016</v>
      </c>
    </row>
    <row r="6" spans="1:27" s="233" customFormat="1">
      <c r="A6" s="247" t="s">
        <v>501</v>
      </c>
      <c r="B6" s="333">
        <v>165</v>
      </c>
      <c r="C6" s="334">
        <v>0.14186650485436894</v>
      </c>
      <c r="D6" s="334">
        <v>4.3126597172572431E-2</v>
      </c>
      <c r="E6" s="334">
        <v>4.3290711847986524E-2</v>
      </c>
      <c r="F6" s="334">
        <v>0.23906735565860365</v>
      </c>
      <c r="G6" s="335">
        <v>1.1453823854743228</v>
      </c>
      <c r="H6" s="335">
        <v>1.4059578359827345</v>
      </c>
      <c r="I6" s="334">
        <v>0.11865542616582794</v>
      </c>
      <c r="J6" s="334">
        <v>0.46544045137444157</v>
      </c>
      <c r="K6" s="334">
        <v>6.0012999999999997E-2</v>
      </c>
      <c r="L6" s="334">
        <v>0.32345903720352803</v>
      </c>
      <c r="M6" s="334">
        <v>9.4762243194387558E-2</v>
      </c>
      <c r="N6" s="335">
        <v>1.1904804043190431</v>
      </c>
      <c r="O6" s="335">
        <v>1.5038988593371825</v>
      </c>
      <c r="P6" s="335">
        <v>17.287729349085854</v>
      </c>
      <c r="Q6" s="335">
        <v>33.703035358925071</v>
      </c>
      <c r="R6" s="335">
        <v>2.1101815687878673</v>
      </c>
      <c r="S6" s="335">
        <v>64.095233913457264</v>
      </c>
      <c r="T6" s="334">
        <v>-2.5209136007541658E-2</v>
      </c>
      <c r="U6" s="334">
        <v>6.2876600240283284E-2</v>
      </c>
      <c r="V6" s="334">
        <v>3.5242374244521507E-2</v>
      </c>
      <c r="W6" s="334">
        <v>0.77772272001406584</v>
      </c>
      <c r="X6" s="334">
        <v>6.2291740132821787E-2</v>
      </c>
      <c r="Y6" s="334">
        <v>0.50430750492583409</v>
      </c>
      <c r="Z6" s="334">
        <v>0.50430750492583409</v>
      </c>
      <c r="AA6" s="336">
        <v>4.6898863272590956E-2</v>
      </c>
    </row>
    <row r="7" spans="1:27" s="233" customFormat="1">
      <c r="A7" s="247" t="s">
        <v>640</v>
      </c>
      <c r="B7" s="333">
        <v>797</v>
      </c>
      <c r="C7" s="334">
        <v>0.11602433962264154</v>
      </c>
      <c r="D7" s="334">
        <v>5.4480012734338001E-2</v>
      </c>
      <c r="E7" s="334">
        <v>0.12916441167961604</v>
      </c>
      <c r="F7" s="334">
        <v>0.24466345776630422</v>
      </c>
      <c r="G7" s="335">
        <v>1.3534718796622696</v>
      </c>
      <c r="H7" s="335">
        <v>1.4498212873289456</v>
      </c>
      <c r="I7" s="334">
        <v>0.12112493847661965</v>
      </c>
      <c r="J7" s="334">
        <v>0.38549790879636248</v>
      </c>
      <c r="K7" s="334">
        <v>5.7771999999999997E-2</v>
      </c>
      <c r="L7" s="334">
        <v>0.21752689046350654</v>
      </c>
      <c r="M7" s="334">
        <v>0.10415573212410165</v>
      </c>
      <c r="N7" s="335">
        <v>1.9786935845149967</v>
      </c>
      <c r="O7" s="335">
        <v>0.96013577915792636</v>
      </c>
      <c r="P7" s="335">
        <v>9.2345812850457989</v>
      </c>
      <c r="Q7" s="335">
        <v>16.773404607297795</v>
      </c>
      <c r="R7" s="335">
        <v>1.7096649372513586</v>
      </c>
      <c r="S7" s="335">
        <v>84.425729348652851</v>
      </c>
      <c r="T7" s="334">
        <v>0.113707633526337</v>
      </c>
      <c r="U7" s="334">
        <v>4.9106590951706226E-2</v>
      </c>
      <c r="V7" s="334">
        <v>3.102023720172524E-2</v>
      </c>
      <c r="W7" s="334">
        <v>0.88436552337168151</v>
      </c>
      <c r="X7" s="334">
        <v>6.5575404745826932E-2</v>
      </c>
      <c r="Y7" s="334">
        <v>0.48556788935495654</v>
      </c>
      <c r="Z7" s="334">
        <v>0.48556788935495654</v>
      </c>
      <c r="AA7" s="336">
        <v>5.8541350259664858E-2</v>
      </c>
    </row>
    <row r="8" spans="1:27" s="233" customFormat="1">
      <c r="A8" s="247" t="s">
        <v>641</v>
      </c>
      <c r="B8" s="333">
        <v>604</v>
      </c>
      <c r="C8" s="334">
        <v>0.19201112299465237</v>
      </c>
      <c r="D8" s="334">
        <v>3.7641733415214773E-3</v>
      </c>
      <c r="E8" s="334" t="s">
        <v>93</v>
      </c>
      <c r="F8" s="334">
        <v>0.19611446080079767</v>
      </c>
      <c r="G8" s="335">
        <v>0.36276505097143535</v>
      </c>
      <c r="H8" s="335">
        <v>0.69749392265202714</v>
      </c>
      <c r="I8" s="334">
        <v>7.8768907845309127E-2</v>
      </c>
      <c r="J8" s="334">
        <v>0.24567453946599635</v>
      </c>
      <c r="K8" s="334">
        <v>5.4405999999999996E-2</v>
      </c>
      <c r="L8" s="334">
        <v>0.67919986635866725</v>
      </c>
      <c r="M8" s="334">
        <v>5.2846762683051524E-2</v>
      </c>
      <c r="N8" s="335">
        <v>0.13566890828122721</v>
      </c>
      <c r="O8" s="335">
        <v>8.9153445266367815</v>
      </c>
      <c r="P8" s="335" t="s">
        <v>93</v>
      </c>
      <c r="Q8" s="335" t="s">
        <v>93</v>
      </c>
      <c r="R8" s="335">
        <v>1.1371162062189775</v>
      </c>
      <c r="S8" s="335">
        <v>23.380454067288746</v>
      </c>
      <c r="T8" s="334" t="s">
        <v>93</v>
      </c>
      <c r="U8" s="334">
        <v>3.7721054859587766E-2</v>
      </c>
      <c r="V8" s="334">
        <v>4.1410341094444331E-2</v>
      </c>
      <c r="W8" s="334">
        <v>5.2846762683051524E-2</v>
      </c>
      <c r="X8" s="334">
        <v>0.11544843066608233</v>
      </c>
      <c r="Y8" s="334">
        <v>0.38673892094678697</v>
      </c>
      <c r="Z8" s="334">
        <v>0.38673892094678697</v>
      </c>
      <c r="AA8" s="336">
        <v>3.9644353731413222E-3</v>
      </c>
    </row>
    <row r="9" spans="1:27" s="233" customFormat="1">
      <c r="A9" s="247" t="s">
        <v>642</v>
      </c>
      <c r="B9" s="333">
        <v>825</v>
      </c>
      <c r="C9" s="334">
        <v>8.3853527696793009E-2</v>
      </c>
      <c r="D9" s="334">
        <v>-1.8435659271743404E-5</v>
      </c>
      <c r="E9" s="334" t="s">
        <v>93</v>
      </c>
      <c r="F9" s="334">
        <v>0.18880322437311553</v>
      </c>
      <c r="G9" s="335">
        <v>0.30036338266393103</v>
      </c>
      <c r="H9" s="335">
        <v>0.51348722168229732</v>
      </c>
      <c r="I9" s="334">
        <v>6.8409330580713343E-2</v>
      </c>
      <c r="J9" s="334">
        <v>0.23331976681675709</v>
      </c>
      <c r="K9" s="334">
        <v>5.4405999999999996E-2</v>
      </c>
      <c r="L9" s="334">
        <v>0.66917596678792124</v>
      </c>
      <c r="M9" s="334">
        <v>4.9802134794546184E-2</v>
      </c>
      <c r="N9" s="335">
        <v>0.15601529983233672</v>
      </c>
      <c r="O9" s="335">
        <v>6.8532132977013074</v>
      </c>
      <c r="P9" s="335" t="s">
        <v>93</v>
      </c>
      <c r="Q9" s="335" t="s">
        <v>93</v>
      </c>
      <c r="R9" s="335">
        <v>0.85212492531026185</v>
      </c>
      <c r="S9" s="335">
        <v>27.962828546419068</v>
      </c>
      <c r="T9" s="334" t="s">
        <v>93</v>
      </c>
      <c r="U9" s="334">
        <v>2.8693975664725931E-2</v>
      </c>
      <c r="V9" s="334">
        <v>1.1121520211992888E-2</v>
      </c>
      <c r="W9" s="334" t="s">
        <v>93</v>
      </c>
      <c r="X9" s="334">
        <v>8.7436367729361558E-2</v>
      </c>
      <c r="Y9" s="334">
        <v>0.32409425199086339</v>
      </c>
      <c r="Z9" s="334">
        <v>0.32409425199086339</v>
      </c>
      <c r="AA9" s="336">
        <v>-4.9850576209801414E-4</v>
      </c>
    </row>
    <row r="10" spans="1:27" s="233" customFormat="1">
      <c r="A10" s="247" t="s">
        <v>643</v>
      </c>
      <c r="B10" s="333">
        <v>217</v>
      </c>
      <c r="C10" s="334">
        <v>8.6233672316384166E-2</v>
      </c>
      <c r="D10" s="334">
        <v>0.2246869431320431</v>
      </c>
      <c r="E10" s="334">
        <v>0.15417973283933217</v>
      </c>
      <c r="F10" s="334">
        <v>0.26136765190027311</v>
      </c>
      <c r="G10" s="335">
        <v>0.72504434398941309</v>
      </c>
      <c r="H10" s="335">
        <v>0.79267084862121351</v>
      </c>
      <c r="I10" s="334">
        <v>8.4127368777374326E-2</v>
      </c>
      <c r="J10" s="334">
        <v>0.34009241820979058</v>
      </c>
      <c r="K10" s="334">
        <v>5.7771999999999997E-2</v>
      </c>
      <c r="L10" s="334">
        <v>0.16869940954829629</v>
      </c>
      <c r="M10" s="334">
        <v>7.7208647475630457E-2</v>
      </c>
      <c r="N10" s="335">
        <v>0.84291435664133929</v>
      </c>
      <c r="O10" s="335">
        <v>3.3175622496528163</v>
      </c>
      <c r="P10" s="335">
        <v>12.215870175465181</v>
      </c>
      <c r="Q10" s="335">
        <v>14.665541081923488</v>
      </c>
      <c r="R10" s="335">
        <v>2.7921965412406609</v>
      </c>
      <c r="S10" s="335">
        <v>46.917794253968772</v>
      </c>
      <c r="T10" s="334">
        <v>0.1089390607252331</v>
      </c>
      <c r="U10" s="334">
        <v>4.9423524689657834E-2</v>
      </c>
      <c r="V10" s="334">
        <v>2.1503714839048713E-2</v>
      </c>
      <c r="W10" s="334">
        <v>0.1350866678403306</v>
      </c>
      <c r="X10" s="334">
        <v>0.1368554582862769</v>
      </c>
      <c r="Y10" s="334">
        <v>0.64822626612746059</v>
      </c>
      <c r="Z10" s="334">
        <v>0.64822626612746059</v>
      </c>
      <c r="AA10" s="336">
        <v>0.22400470001475123</v>
      </c>
    </row>
    <row r="11" spans="1:27" s="233" customFormat="1">
      <c r="A11" s="247" t="s">
        <v>644</v>
      </c>
      <c r="B11" s="333">
        <v>94</v>
      </c>
      <c r="C11" s="334">
        <v>0.11468484848484849</v>
      </c>
      <c r="D11" s="334">
        <v>0.1762373004333796</v>
      </c>
      <c r="E11" s="334">
        <v>0.25367508689543017</v>
      </c>
      <c r="F11" s="334">
        <v>0.2150647923164333</v>
      </c>
      <c r="G11" s="335">
        <v>0.54202265744677047</v>
      </c>
      <c r="H11" s="335">
        <v>0.59284846615832043</v>
      </c>
      <c r="I11" s="334">
        <v>7.2877368644713447E-2</v>
      </c>
      <c r="J11" s="334">
        <v>0.36929594728248888</v>
      </c>
      <c r="K11" s="334">
        <v>5.7771999999999997E-2</v>
      </c>
      <c r="L11" s="334">
        <v>0.15768331326896767</v>
      </c>
      <c r="M11" s="334">
        <v>6.8184378157737702E-2</v>
      </c>
      <c r="N11" s="335">
        <v>1.6840588708723863</v>
      </c>
      <c r="O11" s="335">
        <v>3.4794284639412982</v>
      </c>
      <c r="P11" s="335">
        <v>15.969846233550323</v>
      </c>
      <c r="Q11" s="335">
        <v>19.568469857833357</v>
      </c>
      <c r="R11" s="335">
        <v>5.7647976814765114</v>
      </c>
      <c r="S11" s="335">
        <v>25.617474166553141</v>
      </c>
      <c r="T11" s="334">
        <v>-4.2591796051872827E-2</v>
      </c>
      <c r="U11" s="334">
        <v>5.0848329523422581E-2</v>
      </c>
      <c r="V11" s="334">
        <v>4.0172242072627186E-2</v>
      </c>
      <c r="W11" s="334">
        <v>0.32840707073274528</v>
      </c>
      <c r="X11" s="334">
        <v>0.25987068856736706</v>
      </c>
      <c r="Y11" s="334">
        <v>0.69256828090744871</v>
      </c>
      <c r="Z11" s="334">
        <v>0.69256828090744871</v>
      </c>
      <c r="AA11" s="336">
        <v>0.17694002931984618</v>
      </c>
    </row>
    <row r="12" spans="1:27" s="233" customFormat="1">
      <c r="A12" s="247" t="s">
        <v>645</v>
      </c>
      <c r="B12" s="333">
        <v>127</v>
      </c>
      <c r="C12" s="334">
        <v>4.3784351851851852E-2</v>
      </c>
      <c r="D12" s="334">
        <v>9.9745610173364002E-2</v>
      </c>
      <c r="E12" s="334">
        <v>9.505074643010343E-2</v>
      </c>
      <c r="F12" s="334">
        <v>0.27392188631114495</v>
      </c>
      <c r="G12" s="335">
        <v>0.65577076267562506</v>
      </c>
      <c r="H12" s="335">
        <v>0.832172827138835</v>
      </c>
      <c r="I12" s="334">
        <v>8.6351330167916407E-2</v>
      </c>
      <c r="J12" s="334">
        <v>0.4048451394444616</v>
      </c>
      <c r="K12" s="334">
        <v>5.7771999999999997E-2</v>
      </c>
      <c r="L12" s="334">
        <v>0.36213202220579149</v>
      </c>
      <c r="M12" s="334">
        <v>7.0694158706812171E-2</v>
      </c>
      <c r="N12" s="335">
        <v>1.1246825719283284</v>
      </c>
      <c r="O12" s="335">
        <v>1.2839663479903904</v>
      </c>
      <c r="P12" s="335">
        <v>8.4709855335301789</v>
      </c>
      <c r="Q12" s="335">
        <v>12.461419383062184</v>
      </c>
      <c r="R12" s="335">
        <v>1.1466146604960485</v>
      </c>
      <c r="S12" s="335">
        <v>24.090046717727098</v>
      </c>
      <c r="T12" s="334">
        <v>0.11491060026911433</v>
      </c>
      <c r="U12" s="334">
        <v>3.0683734011420424E-2</v>
      </c>
      <c r="V12" s="334">
        <v>-1.5735498593915161E-2</v>
      </c>
      <c r="W12" s="334">
        <v>1.1906894674643222</v>
      </c>
      <c r="X12" s="334">
        <v>4.4737820083344926E-2</v>
      </c>
      <c r="Y12" s="334">
        <v>0.69642169210098859</v>
      </c>
      <c r="Z12" s="334">
        <v>0.69642169210098859</v>
      </c>
      <c r="AA12" s="336">
        <v>9.9906612705457962E-2</v>
      </c>
    </row>
    <row r="13" spans="1:27" s="233" customFormat="1">
      <c r="A13" s="247" t="s">
        <v>646</v>
      </c>
      <c r="B13" s="333">
        <v>623</v>
      </c>
      <c r="C13" s="334">
        <v>0.20560422037422033</v>
      </c>
      <c r="D13" s="334">
        <v>9.3698089128877206E-3</v>
      </c>
      <c r="E13" s="334" t="s">
        <v>93</v>
      </c>
      <c r="F13" s="334">
        <v>0.20657152440033427</v>
      </c>
      <c r="G13" s="335">
        <v>0.48957376161433352</v>
      </c>
      <c r="H13" s="335">
        <v>0.98461362581209033</v>
      </c>
      <c r="I13" s="334">
        <v>9.4933747133220697E-2</v>
      </c>
      <c r="J13" s="334">
        <v>0.40964256511809022</v>
      </c>
      <c r="K13" s="334">
        <v>5.7771999999999997E-2</v>
      </c>
      <c r="L13" s="334">
        <v>0.64175212018157568</v>
      </c>
      <c r="M13" s="334">
        <v>6.1679112626139843E-2</v>
      </c>
      <c r="N13" s="335">
        <v>0.22058932417414476</v>
      </c>
      <c r="O13" s="335">
        <v>6.4250860452806009</v>
      </c>
      <c r="P13" s="335" t="s">
        <v>93</v>
      </c>
      <c r="Q13" s="335" t="s">
        <v>93</v>
      </c>
      <c r="R13" s="335">
        <v>1.8268436888658091</v>
      </c>
      <c r="S13" s="335">
        <v>53.984219532962271</v>
      </c>
      <c r="T13" s="334">
        <v>-1.3519202636287806</v>
      </c>
      <c r="U13" s="334">
        <v>2.0559316390364523E-2</v>
      </c>
      <c r="V13" s="334">
        <v>-2.3277604801716673E-2</v>
      </c>
      <c r="W13" s="334">
        <v>-18.27826446284563</v>
      </c>
      <c r="X13" s="334">
        <v>0.12620581523347621</v>
      </c>
      <c r="Y13" s="334">
        <v>0.39374619969531349</v>
      </c>
      <c r="Z13" s="334">
        <v>0.39374619969531355</v>
      </c>
      <c r="AA13" s="336">
        <v>9.1983036465408639E-3</v>
      </c>
    </row>
    <row r="14" spans="1:27" s="233" customFormat="1">
      <c r="A14" s="247" t="s">
        <v>647</v>
      </c>
      <c r="B14" s="333">
        <v>469</v>
      </c>
      <c r="C14" s="334">
        <v>6.1503543956043946E-2</v>
      </c>
      <c r="D14" s="334">
        <v>0.104013279470123</v>
      </c>
      <c r="E14" s="334">
        <v>0.14189101363837847</v>
      </c>
      <c r="F14" s="334">
        <v>0.24573048899786995</v>
      </c>
      <c r="G14" s="335">
        <v>0.90272059337664057</v>
      </c>
      <c r="H14" s="335">
        <v>1.0048303067527764</v>
      </c>
      <c r="I14" s="334">
        <v>9.6071946270181313E-2</v>
      </c>
      <c r="J14" s="334">
        <v>0.34630654257967586</v>
      </c>
      <c r="K14" s="334">
        <v>5.7771999999999997E-2</v>
      </c>
      <c r="L14" s="334">
        <v>0.18553155775246097</v>
      </c>
      <c r="M14" s="334">
        <v>8.6246806730348666E-2</v>
      </c>
      <c r="N14" s="335">
        <v>1.7360449495854091</v>
      </c>
      <c r="O14" s="335">
        <v>1.8851036615872645</v>
      </c>
      <c r="P14" s="335">
        <v>12.410490288236952</v>
      </c>
      <c r="Q14" s="335">
        <v>17.772730860599516</v>
      </c>
      <c r="R14" s="335">
        <v>2.7929304504873778</v>
      </c>
      <c r="S14" s="335">
        <v>50.22868282017253</v>
      </c>
      <c r="T14" s="334">
        <v>0.17644316268689361</v>
      </c>
      <c r="U14" s="334">
        <v>4.220721589610317E-2</v>
      </c>
      <c r="V14" s="334">
        <v>3.8512895861398014E-2</v>
      </c>
      <c r="W14" s="334">
        <v>0.5678532356760978</v>
      </c>
      <c r="X14" s="334">
        <v>0.11996231294425355</v>
      </c>
      <c r="Y14" s="334">
        <v>0.39406337727635449</v>
      </c>
      <c r="Z14" s="334">
        <v>0.39406337727635443</v>
      </c>
      <c r="AA14" s="336">
        <v>0.10596456646931336</v>
      </c>
    </row>
    <row r="15" spans="1:27" s="233" customFormat="1">
      <c r="A15" s="247" t="s">
        <v>648</v>
      </c>
      <c r="B15" s="333">
        <v>994</v>
      </c>
      <c r="C15" s="334">
        <v>8.3179852941176483E-2</v>
      </c>
      <c r="D15" s="334">
        <v>0.10145314111735844</v>
      </c>
      <c r="E15" s="334">
        <v>0.22092321087225542</v>
      </c>
      <c r="F15" s="334">
        <v>0.24059857501988496</v>
      </c>
      <c r="G15" s="335">
        <v>0.90833038123473164</v>
      </c>
      <c r="H15" s="335">
        <v>0.99214597590868558</v>
      </c>
      <c r="I15" s="334">
        <v>9.5357818443659009E-2</v>
      </c>
      <c r="J15" s="334">
        <v>0.39436765478505004</v>
      </c>
      <c r="K15" s="334">
        <v>5.7771999999999997E-2</v>
      </c>
      <c r="L15" s="334">
        <v>0.17086021598931553</v>
      </c>
      <c r="M15" s="334">
        <v>8.6431640822033445E-2</v>
      </c>
      <c r="N15" s="335">
        <v>2.7981200268647992</v>
      </c>
      <c r="O15" s="335">
        <v>2.0384941527355438</v>
      </c>
      <c r="P15" s="335">
        <v>14.086673380144674</v>
      </c>
      <c r="Q15" s="335">
        <v>19.477306735186708</v>
      </c>
      <c r="R15" s="335">
        <v>4.3125071138812254</v>
      </c>
      <c r="S15" s="335">
        <v>33.303170464296414</v>
      </c>
      <c r="T15" s="334">
        <v>0.10866958227812519</v>
      </c>
      <c r="U15" s="334">
        <v>2.4349921453681707E-2</v>
      </c>
      <c r="V15" s="334">
        <v>1.84769805890268E-2</v>
      </c>
      <c r="W15" s="334">
        <v>0.33068335327533144</v>
      </c>
      <c r="X15" s="334">
        <v>0.15267480146003434</v>
      </c>
      <c r="Y15" s="334">
        <v>0.50109926759031576</v>
      </c>
      <c r="Z15" s="334">
        <v>0.50109926759031576</v>
      </c>
      <c r="AA15" s="336">
        <v>0.10179070939214054</v>
      </c>
    </row>
    <row r="16" spans="1:27" s="233" customFormat="1">
      <c r="A16" s="247" t="s">
        <v>649</v>
      </c>
      <c r="B16" s="333">
        <v>42</v>
      </c>
      <c r="C16" s="334">
        <v>4.3443243243243244E-2</v>
      </c>
      <c r="D16" s="334">
        <v>0.17336966416759611</v>
      </c>
      <c r="E16" s="334">
        <v>0.11149964694609382</v>
      </c>
      <c r="F16" s="334">
        <v>0.19024680013059994</v>
      </c>
      <c r="G16" s="335">
        <v>0.59082963275876232</v>
      </c>
      <c r="H16" s="335">
        <v>1.0969952643670762</v>
      </c>
      <c r="I16" s="334">
        <v>0.10126083338386639</v>
      </c>
      <c r="J16" s="334">
        <v>0.3902685527392315</v>
      </c>
      <c r="K16" s="334">
        <v>5.7771999999999997E-2</v>
      </c>
      <c r="L16" s="334">
        <v>0.5539018621904962</v>
      </c>
      <c r="M16" s="334">
        <v>6.9053882924418108E-2</v>
      </c>
      <c r="N16" s="335">
        <v>0.72895458581585193</v>
      </c>
      <c r="O16" s="335">
        <v>2.1610559120716051</v>
      </c>
      <c r="P16" s="335">
        <v>6.5773422588228581</v>
      </c>
      <c r="Q16" s="335">
        <v>12.47474740791351</v>
      </c>
      <c r="R16" s="335">
        <v>1.3822538943343763</v>
      </c>
      <c r="S16" s="335">
        <v>69.657037241818415</v>
      </c>
      <c r="T16" s="334">
        <v>2.5634574405734755E-2</v>
      </c>
      <c r="U16" s="334">
        <v>0.12531088030312262</v>
      </c>
      <c r="V16" s="334">
        <v>-8.4622369522452806E-3</v>
      </c>
      <c r="W16" s="334">
        <v>-6.1036979632262012E-2</v>
      </c>
      <c r="X16" s="334">
        <v>8.117679258610265E-2</v>
      </c>
      <c r="Y16" s="334">
        <v>0.42750809018172198</v>
      </c>
      <c r="Z16" s="334">
        <v>0.42750809018172198</v>
      </c>
      <c r="AA16" s="336">
        <v>0.17080424159236754</v>
      </c>
    </row>
    <row r="17" spans="1:27" s="233" customFormat="1">
      <c r="A17" s="247" t="s">
        <v>650</v>
      </c>
      <c r="B17" s="333">
        <v>909</v>
      </c>
      <c r="C17" s="334">
        <v>0.10223551440329219</v>
      </c>
      <c r="D17" s="334">
        <v>3.6835266173455776E-2</v>
      </c>
      <c r="E17" s="334">
        <v>3.1507248495430164E-2</v>
      </c>
      <c r="F17" s="334">
        <v>0.19521370183395481</v>
      </c>
      <c r="G17" s="335">
        <v>1.0021472613339761</v>
      </c>
      <c r="H17" s="335">
        <v>1.256025755860968</v>
      </c>
      <c r="I17" s="334">
        <v>0.11021425005497251</v>
      </c>
      <c r="J17" s="334">
        <v>0.37696585768312763</v>
      </c>
      <c r="K17" s="334">
        <v>5.7771999999999997E-2</v>
      </c>
      <c r="L17" s="334">
        <v>0.33545863037094914</v>
      </c>
      <c r="M17" s="334">
        <v>8.7705309250335955E-2</v>
      </c>
      <c r="N17" s="335">
        <v>1.0265960016282052</v>
      </c>
      <c r="O17" s="335">
        <v>1.4303560409443392</v>
      </c>
      <c r="P17" s="335">
        <v>13.707313205373254</v>
      </c>
      <c r="Q17" s="335">
        <v>36.464575774739266</v>
      </c>
      <c r="R17" s="335">
        <v>1.4473316716829616</v>
      </c>
      <c r="S17" s="335">
        <v>114.41924372302657</v>
      </c>
      <c r="T17" s="334">
        <v>0.11984859336073533</v>
      </c>
      <c r="U17" s="334">
        <v>8.0071671653248425E-2</v>
      </c>
      <c r="V17" s="334">
        <v>4.2695070962806357E-2</v>
      </c>
      <c r="W17" s="334">
        <v>1.3872652322853112</v>
      </c>
      <c r="X17" s="334">
        <v>-5.5737826309596675E-3</v>
      </c>
      <c r="Y17" s="334">
        <v>2.5793856195023196E-2</v>
      </c>
      <c r="Z17" s="334">
        <v>2.5793856195023168E-2</v>
      </c>
      <c r="AA17" s="336">
        <v>3.7706628794687863E-2</v>
      </c>
    </row>
    <row r="18" spans="1:27" s="233" customFormat="1">
      <c r="A18" s="247" t="s">
        <v>651</v>
      </c>
      <c r="B18" s="333">
        <v>63</v>
      </c>
      <c r="C18" s="334">
        <v>8.6664137931034488E-2</v>
      </c>
      <c r="D18" s="334">
        <v>6.829306808360508E-2</v>
      </c>
      <c r="E18" s="334">
        <v>6.3870085330108073E-2</v>
      </c>
      <c r="F18" s="334">
        <v>0.26198785604834662</v>
      </c>
      <c r="G18" s="335">
        <v>0.91005712717491893</v>
      </c>
      <c r="H18" s="335">
        <v>1.1692025395347072</v>
      </c>
      <c r="I18" s="334">
        <v>0.10532610297580403</v>
      </c>
      <c r="J18" s="334">
        <v>0.29763351824406548</v>
      </c>
      <c r="K18" s="334">
        <v>5.4405999999999996E-2</v>
      </c>
      <c r="L18" s="334">
        <v>0.34434462920477271</v>
      </c>
      <c r="M18" s="334">
        <v>8.3039118191986117E-2</v>
      </c>
      <c r="N18" s="335">
        <v>1.2117164085981338</v>
      </c>
      <c r="O18" s="335">
        <v>1.0953319594007704</v>
      </c>
      <c r="P18" s="335">
        <v>8.6548627064560115</v>
      </c>
      <c r="Q18" s="335">
        <v>16.003235204459298</v>
      </c>
      <c r="R18" s="335">
        <v>1.2490654203551113</v>
      </c>
      <c r="S18" s="335">
        <v>25.31045837315828</v>
      </c>
      <c r="T18" s="334">
        <v>0.20949169065202849</v>
      </c>
      <c r="U18" s="334">
        <v>7.1448633791567864E-2</v>
      </c>
      <c r="V18" s="334">
        <v>3.7655673878900578E-2</v>
      </c>
      <c r="W18" s="334">
        <v>0.78799214970329468</v>
      </c>
      <c r="X18" s="334">
        <v>4.6123813739745632E-2</v>
      </c>
      <c r="Y18" s="334">
        <v>0.94795797159873052</v>
      </c>
      <c r="Z18" s="334">
        <v>0.94795797159873052</v>
      </c>
      <c r="AA18" s="336">
        <v>7.1862354167614648E-2</v>
      </c>
    </row>
    <row r="19" spans="1:27" s="233" customFormat="1">
      <c r="A19" s="247" t="s">
        <v>652</v>
      </c>
      <c r="B19" s="333">
        <v>952</v>
      </c>
      <c r="C19" s="334">
        <v>0.10482979108635097</v>
      </c>
      <c r="D19" s="334">
        <v>0.10965894445535111</v>
      </c>
      <c r="E19" s="334">
        <v>9.5119638038571777E-2</v>
      </c>
      <c r="F19" s="334">
        <v>0.23685844987625684</v>
      </c>
      <c r="G19" s="335">
        <v>1.0428068761505285</v>
      </c>
      <c r="H19" s="335">
        <v>1.153626570549779</v>
      </c>
      <c r="I19" s="334">
        <v>0.10444917592195258</v>
      </c>
      <c r="J19" s="334">
        <v>0.39445614662122175</v>
      </c>
      <c r="K19" s="334">
        <v>5.7771999999999997E-2</v>
      </c>
      <c r="L19" s="334">
        <v>0.19038263221836546</v>
      </c>
      <c r="M19" s="334">
        <v>9.277226044219615E-2</v>
      </c>
      <c r="N19" s="335">
        <v>1.0868010364646339</v>
      </c>
      <c r="O19" s="335">
        <v>2.3691472212707279</v>
      </c>
      <c r="P19" s="335">
        <v>13.104221203667324</v>
      </c>
      <c r="Q19" s="335">
        <v>21.132217065343454</v>
      </c>
      <c r="R19" s="335">
        <v>2.305932026419518</v>
      </c>
      <c r="S19" s="335">
        <v>71.552481856162032</v>
      </c>
      <c r="T19" s="334">
        <v>0.18885179047150497</v>
      </c>
      <c r="U19" s="334">
        <v>8.3569480308475691E-2</v>
      </c>
      <c r="V19" s="334">
        <v>4.0597436008650643E-2</v>
      </c>
      <c r="W19" s="334">
        <v>0.57140532363570129</v>
      </c>
      <c r="X19" s="334">
        <v>7.7549892827861872E-2</v>
      </c>
      <c r="Y19" s="334">
        <v>0.63229331331537919</v>
      </c>
      <c r="Z19" s="334">
        <v>0.63229331331537919</v>
      </c>
      <c r="AA19" s="336">
        <v>0.11140825067188335</v>
      </c>
    </row>
    <row r="20" spans="1:27" s="233" customFormat="1">
      <c r="A20" s="247" t="s">
        <v>653</v>
      </c>
      <c r="B20" s="333">
        <v>212</v>
      </c>
      <c r="C20" s="334">
        <v>0.14176457943925233</v>
      </c>
      <c r="D20" s="334">
        <v>0.16038092899106698</v>
      </c>
      <c r="E20" s="334">
        <v>0.1415339475997465</v>
      </c>
      <c r="F20" s="334">
        <v>0.22533691407253434</v>
      </c>
      <c r="G20" s="335">
        <v>1.1330048763544707</v>
      </c>
      <c r="H20" s="335">
        <v>1.1429397457977559</v>
      </c>
      <c r="I20" s="334">
        <v>0.10384750768841366</v>
      </c>
      <c r="J20" s="334">
        <v>0.58632036436751855</v>
      </c>
      <c r="K20" s="334">
        <v>6.0012999999999997E-2</v>
      </c>
      <c r="L20" s="334">
        <v>0.16599340061503132</v>
      </c>
      <c r="M20" s="334">
        <v>9.404396968593158E-2</v>
      </c>
      <c r="N20" s="335">
        <v>1.0181418771242539</v>
      </c>
      <c r="O20" s="335">
        <v>2.1384940877969125</v>
      </c>
      <c r="P20" s="335">
        <v>7.963502495488167</v>
      </c>
      <c r="Q20" s="335">
        <v>12.44827555769511</v>
      </c>
      <c r="R20" s="335">
        <v>1.7027591187987883</v>
      </c>
      <c r="S20" s="335">
        <v>55.838223315608737</v>
      </c>
      <c r="T20" s="334">
        <v>-3.1823863554558379E-2</v>
      </c>
      <c r="U20" s="334">
        <v>0.15317929937784888</v>
      </c>
      <c r="V20" s="334">
        <v>7.980645606284488E-2</v>
      </c>
      <c r="W20" s="334">
        <v>0.81019141765070346</v>
      </c>
      <c r="X20" s="334">
        <v>0.10643057845038383</v>
      </c>
      <c r="Y20" s="334">
        <v>0.14573564708154718</v>
      </c>
      <c r="Z20" s="334">
        <v>0.14573564708154718</v>
      </c>
      <c r="AA20" s="336">
        <v>0.16005608506517513</v>
      </c>
    </row>
    <row r="21" spans="1:27" s="233" customFormat="1">
      <c r="A21" s="247" t="s">
        <v>654</v>
      </c>
      <c r="B21" s="333">
        <v>1225</v>
      </c>
      <c r="C21" s="334">
        <v>0.13624416067146283</v>
      </c>
      <c r="D21" s="334">
        <v>7.5597155647089714E-2</v>
      </c>
      <c r="E21" s="334">
        <v>0.20955305758952805</v>
      </c>
      <c r="F21" s="334">
        <v>0.24110451250191503</v>
      </c>
      <c r="G21" s="335">
        <v>1.0715769620770927</v>
      </c>
      <c r="H21" s="335">
        <v>1.1166904823073391</v>
      </c>
      <c r="I21" s="334">
        <v>0.10236967415390319</v>
      </c>
      <c r="J21" s="334">
        <v>0.42514250256480629</v>
      </c>
      <c r="K21" s="334">
        <v>5.7771999999999997E-2</v>
      </c>
      <c r="L21" s="334">
        <v>0.13053619245682577</v>
      </c>
      <c r="M21" s="334">
        <v>9.4634826403199271E-2</v>
      </c>
      <c r="N21" s="335">
        <v>3.7546965693675087</v>
      </c>
      <c r="O21" s="335">
        <v>1.4626915316517466</v>
      </c>
      <c r="P21" s="335">
        <v>14.621894105031677</v>
      </c>
      <c r="Q21" s="335">
        <v>18.50678978918463</v>
      </c>
      <c r="R21" s="335">
        <v>3.9884478129658452</v>
      </c>
      <c r="S21" s="335">
        <v>57.152491663235601</v>
      </c>
      <c r="T21" s="334">
        <v>0.2986624035760102</v>
      </c>
      <c r="U21" s="334">
        <v>1.1275004093497576E-2</v>
      </c>
      <c r="V21" s="334">
        <v>1.2956213192816842E-2</v>
      </c>
      <c r="W21" s="334">
        <v>0.32046959461309232</v>
      </c>
      <c r="X21" s="334">
        <v>0.17122491849082352</v>
      </c>
      <c r="Y21" s="334">
        <v>0.5308893627711585</v>
      </c>
      <c r="Z21" s="334">
        <v>0.5308893627711585</v>
      </c>
      <c r="AA21" s="336">
        <v>7.6996905544234578E-2</v>
      </c>
    </row>
    <row r="22" spans="1:27" s="233" customFormat="1">
      <c r="A22" s="247" t="s">
        <v>655</v>
      </c>
      <c r="B22" s="333">
        <v>343</v>
      </c>
      <c r="C22" s="334">
        <v>3.2691412639405212E-2</v>
      </c>
      <c r="D22" s="334">
        <v>0.12611612608959333</v>
      </c>
      <c r="E22" s="334">
        <v>0.19910185025773558</v>
      </c>
      <c r="F22" s="334">
        <v>0.15211533935364474</v>
      </c>
      <c r="G22" s="335">
        <v>1.4681982558053279</v>
      </c>
      <c r="H22" s="335">
        <v>1.4861046989510829</v>
      </c>
      <c r="I22" s="334">
        <v>0.12316769455094598</v>
      </c>
      <c r="J22" s="334">
        <v>0.4355863705546168</v>
      </c>
      <c r="K22" s="334">
        <v>5.7771999999999997E-2</v>
      </c>
      <c r="L22" s="334">
        <v>5.8294053846211398E-2</v>
      </c>
      <c r="M22" s="334">
        <v>0.11850111266469034</v>
      </c>
      <c r="N22" s="335">
        <v>2.4835356974578553</v>
      </c>
      <c r="O22" s="335">
        <v>3.4019645017230671</v>
      </c>
      <c r="P22" s="335">
        <v>20.176313962525622</v>
      </c>
      <c r="Q22" s="335">
        <v>26.728441918882766</v>
      </c>
      <c r="R22" s="335">
        <v>8.1089832433611626</v>
      </c>
      <c r="S22" s="335">
        <v>72.095691051310553</v>
      </c>
      <c r="T22" s="334">
        <v>4.6850123568708699E-2</v>
      </c>
      <c r="U22" s="334">
        <v>4.6586910681893676E-2</v>
      </c>
      <c r="V22" s="334">
        <v>4.4700950570150048E-2</v>
      </c>
      <c r="W22" s="334">
        <v>0.56360632104726993</v>
      </c>
      <c r="X22" s="334">
        <v>0.27703945295802701</v>
      </c>
      <c r="Y22" s="334">
        <v>0.22782297827932363</v>
      </c>
      <c r="Z22" s="334">
        <v>0.22782297827932363</v>
      </c>
      <c r="AA22" s="336">
        <v>0.13089453661179248</v>
      </c>
    </row>
    <row r="23" spans="1:27" s="233" customFormat="1">
      <c r="A23" s="247" t="s">
        <v>656</v>
      </c>
      <c r="B23" s="333">
        <v>804</v>
      </c>
      <c r="C23" s="334">
        <v>0.10728846635367761</v>
      </c>
      <c r="D23" s="334">
        <v>9.7096730466073575E-2</v>
      </c>
      <c r="E23" s="334">
        <v>9.2923831377616325E-2</v>
      </c>
      <c r="F23" s="334">
        <v>0.21799753277815592</v>
      </c>
      <c r="G23" s="335">
        <v>0.91667626375656697</v>
      </c>
      <c r="H23" s="335">
        <v>1.0343955755170557</v>
      </c>
      <c r="I23" s="334">
        <v>9.7736470901610251E-2</v>
      </c>
      <c r="J23" s="334">
        <v>0.37316871621794689</v>
      </c>
      <c r="K23" s="334">
        <v>5.7771999999999997E-2</v>
      </c>
      <c r="L23" s="334">
        <v>0.23237458669184796</v>
      </c>
      <c r="M23" s="334">
        <v>8.5043885782797091E-2</v>
      </c>
      <c r="N23" s="335">
        <v>1.2257628695257026</v>
      </c>
      <c r="O23" s="335">
        <v>1.8011433977328009</v>
      </c>
      <c r="P23" s="335">
        <v>12.309508846975056</v>
      </c>
      <c r="Q23" s="335">
        <v>18.066292512107459</v>
      </c>
      <c r="R23" s="335">
        <v>2.0855520144374564</v>
      </c>
      <c r="S23" s="335">
        <v>113.95372423467501</v>
      </c>
      <c r="T23" s="334">
        <v>0.17410989427284967</v>
      </c>
      <c r="U23" s="334">
        <v>5.0396929985338422E-2</v>
      </c>
      <c r="V23" s="334">
        <v>3.2587182148419526E-2</v>
      </c>
      <c r="W23" s="334">
        <v>0.50303622456903818</v>
      </c>
      <c r="X23" s="334">
        <v>0.12313679684691181</v>
      </c>
      <c r="Y23" s="334">
        <v>0.38082411852700887</v>
      </c>
      <c r="Z23" s="334">
        <v>0.38082411852700893</v>
      </c>
      <c r="AA23" s="336">
        <v>9.8755587448031673E-2</v>
      </c>
    </row>
    <row r="24" spans="1:27" s="233" customFormat="1">
      <c r="A24" s="247" t="s">
        <v>657</v>
      </c>
      <c r="B24" s="333">
        <v>329</v>
      </c>
      <c r="C24" s="334">
        <v>0.15288022140221391</v>
      </c>
      <c r="D24" s="334">
        <v>0.15113019141805942</v>
      </c>
      <c r="E24" s="334">
        <v>8.984867749422655E-2</v>
      </c>
      <c r="F24" s="334">
        <v>0.18662194837504911</v>
      </c>
      <c r="G24" s="335">
        <v>0.65257439783955951</v>
      </c>
      <c r="H24" s="335">
        <v>0.79738817445507382</v>
      </c>
      <c r="I24" s="334">
        <v>8.4392954221820665E-2</v>
      </c>
      <c r="J24" s="334">
        <v>0.30019575383348179</v>
      </c>
      <c r="K24" s="334">
        <v>5.7771999999999997E-2</v>
      </c>
      <c r="L24" s="334">
        <v>0.32661305031170557</v>
      </c>
      <c r="M24" s="334">
        <v>7.0911115245743936E-2</v>
      </c>
      <c r="N24" s="335">
        <v>0.71301822687663097</v>
      </c>
      <c r="O24" s="335">
        <v>2.1426108602457274</v>
      </c>
      <c r="P24" s="335">
        <v>10.935986179692073</v>
      </c>
      <c r="Q24" s="335">
        <v>13.877965650418261</v>
      </c>
      <c r="R24" s="335">
        <v>1.2190831644689155</v>
      </c>
      <c r="S24" s="335">
        <v>30.903742497245727</v>
      </c>
      <c r="T24" s="334">
        <v>6.0473078707506484E-2</v>
      </c>
      <c r="U24" s="334">
        <v>5.0497474683384322E-2</v>
      </c>
      <c r="V24" s="334">
        <v>4.1189704586661761E-2</v>
      </c>
      <c r="W24" s="334">
        <v>0.39409375342681041</v>
      </c>
      <c r="X24" s="334">
        <v>8.9405980862303211E-2</v>
      </c>
      <c r="Y24" s="334">
        <v>0.22755379268254339</v>
      </c>
      <c r="Z24" s="334">
        <v>0.22755379268254339</v>
      </c>
      <c r="AA24" s="336">
        <v>0.15142427033539549</v>
      </c>
    </row>
    <row r="25" spans="1:27" s="233" customFormat="1">
      <c r="A25" s="247" t="s">
        <v>658</v>
      </c>
      <c r="B25" s="333">
        <v>1193</v>
      </c>
      <c r="C25" s="334">
        <v>0.27468802443991824</v>
      </c>
      <c r="D25" s="334">
        <v>7.4763138658869105E-2</v>
      </c>
      <c r="E25" s="334">
        <v>2.994251473785985E-2</v>
      </c>
      <c r="F25" s="334">
        <v>0.15147358740107958</v>
      </c>
      <c r="G25" s="335">
        <v>1.1808092261100824</v>
      </c>
      <c r="H25" s="335">
        <v>1.2307900987040603</v>
      </c>
      <c r="I25" s="334">
        <v>0.10879348255703861</v>
      </c>
      <c r="J25" s="334">
        <v>0.65511568571329748</v>
      </c>
      <c r="K25" s="334">
        <v>6.7294999999999994E-2</v>
      </c>
      <c r="L25" s="334">
        <v>0.10992343138184393</v>
      </c>
      <c r="M25" s="334">
        <v>0.10235513262845412</v>
      </c>
      <c r="N25" s="335">
        <v>0.71371066508935177</v>
      </c>
      <c r="O25" s="335">
        <v>7.941242537185091</v>
      </c>
      <c r="P25" s="335">
        <v>16.713925584235497</v>
      </c>
      <c r="Q25" s="335">
        <v>77.687253805753102</v>
      </c>
      <c r="R25" s="335">
        <v>6.1699100825985598</v>
      </c>
      <c r="S25" s="335">
        <v>161.43637085593937</v>
      </c>
      <c r="T25" s="334">
        <v>0.20611856523698782</v>
      </c>
      <c r="U25" s="334">
        <v>4.1258812479118057E-2</v>
      </c>
      <c r="V25" s="334">
        <v>-8.7757113718152958E-3</v>
      </c>
      <c r="W25" s="334">
        <v>0.28840133542277846</v>
      </c>
      <c r="X25" s="334">
        <v>-3.2409081015828838E-2</v>
      </c>
      <c r="Y25" s="334">
        <v>3.082840460578802E-3</v>
      </c>
      <c r="Z25" s="334">
        <v>3.0828404605788284E-3</v>
      </c>
      <c r="AA25" s="336">
        <v>7.7118143416144008E-2</v>
      </c>
    </row>
    <row r="26" spans="1:27" s="233" customFormat="1">
      <c r="A26" s="247" t="s">
        <v>659</v>
      </c>
      <c r="B26" s="333">
        <v>1260</v>
      </c>
      <c r="C26" s="334">
        <v>0.14050234523809507</v>
      </c>
      <c r="D26" s="334">
        <v>0.23070059816192529</v>
      </c>
      <c r="E26" s="334">
        <v>0.14737283207172139</v>
      </c>
      <c r="F26" s="334">
        <v>0.1785869778712996</v>
      </c>
      <c r="G26" s="335">
        <v>0.99875430354771388</v>
      </c>
      <c r="H26" s="335">
        <v>1.0625903045222254</v>
      </c>
      <c r="I26" s="334">
        <v>9.9323834144601289E-2</v>
      </c>
      <c r="J26" s="334">
        <v>0.47485789419029745</v>
      </c>
      <c r="K26" s="334">
        <v>6.0012999999999997E-2</v>
      </c>
      <c r="L26" s="334">
        <v>0.12997887274477796</v>
      </c>
      <c r="M26" s="334">
        <v>9.2235289151587879E-2</v>
      </c>
      <c r="N26" s="335">
        <v>1.0697898553970477</v>
      </c>
      <c r="O26" s="335">
        <v>4.3962160100544727</v>
      </c>
      <c r="P26" s="335">
        <v>13.84795033944487</v>
      </c>
      <c r="Q26" s="335">
        <v>18.252498342627682</v>
      </c>
      <c r="R26" s="335">
        <v>4.1683156058524773</v>
      </c>
      <c r="S26" s="335">
        <v>87.139590040225499</v>
      </c>
      <c r="T26" s="334">
        <v>0.18541974342664821</v>
      </c>
      <c r="U26" s="334">
        <v>5.5169605129307159E-2</v>
      </c>
      <c r="V26" s="334">
        <v>4.1002216924261613E-2</v>
      </c>
      <c r="W26" s="334">
        <v>0.27397381866171966</v>
      </c>
      <c r="X26" s="334">
        <v>0.16769655765384323</v>
      </c>
      <c r="Y26" s="334">
        <v>0.57621284809919671</v>
      </c>
      <c r="Z26" s="334">
        <v>0.57621284809919671</v>
      </c>
      <c r="AA26" s="336">
        <v>0.23277717028974096</v>
      </c>
    </row>
    <row r="27" spans="1:27" s="233" customFormat="1">
      <c r="A27" s="247" t="s">
        <v>660</v>
      </c>
      <c r="B27" s="333">
        <v>281</v>
      </c>
      <c r="C27" s="334">
        <v>0.1620242780748663</v>
      </c>
      <c r="D27" s="334">
        <v>0.1592522447774741</v>
      </c>
      <c r="E27" s="334">
        <v>0.14361683059114613</v>
      </c>
      <c r="F27" s="334">
        <v>0.21820833911577395</v>
      </c>
      <c r="G27" s="335">
        <v>0.74457722818824723</v>
      </c>
      <c r="H27" s="335">
        <v>0.81174092791012553</v>
      </c>
      <c r="I27" s="334">
        <v>8.5201014241340078E-2</v>
      </c>
      <c r="J27" s="334">
        <v>0.41912512357537973</v>
      </c>
      <c r="K27" s="334">
        <v>5.7771999999999997E-2</v>
      </c>
      <c r="L27" s="334">
        <v>0.2224420101713282</v>
      </c>
      <c r="M27" s="334">
        <v>7.5839370820270924E-2</v>
      </c>
      <c r="N27" s="335">
        <v>1.1585770299147213</v>
      </c>
      <c r="O27" s="335">
        <v>2.0598126754360035</v>
      </c>
      <c r="P27" s="335">
        <v>8.9622272138315093</v>
      </c>
      <c r="Q27" s="335">
        <v>12.638623410429103</v>
      </c>
      <c r="R27" s="335">
        <v>1.8752456663874006</v>
      </c>
      <c r="S27" s="335">
        <v>43.569818445789714</v>
      </c>
      <c r="T27" s="334">
        <v>5.9621656759686545E-2</v>
      </c>
      <c r="U27" s="334">
        <v>4.8031199112030964E-2</v>
      </c>
      <c r="V27" s="334">
        <v>1.7164413114209416E-2</v>
      </c>
      <c r="W27" s="334">
        <v>0.26820882542488605</v>
      </c>
      <c r="X27" s="334">
        <v>0.12312237847453927</v>
      </c>
      <c r="Y27" s="334">
        <v>0.29169894338042895</v>
      </c>
      <c r="Z27" s="334">
        <v>0.2916989433804289</v>
      </c>
      <c r="AA27" s="336">
        <v>0.15896901141723202</v>
      </c>
    </row>
    <row r="28" spans="1:27" s="233" customFormat="1">
      <c r="A28" s="247" t="s">
        <v>661</v>
      </c>
      <c r="B28" s="333">
        <v>1158</v>
      </c>
      <c r="C28" s="334">
        <v>0.12262514465408814</v>
      </c>
      <c r="D28" s="334">
        <v>8.3468863531667853E-2</v>
      </c>
      <c r="E28" s="334">
        <v>0.11449613160913091</v>
      </c>
      <c r="F28" s="334">
        <v>0.20828266557400182</v>
      </c>
      <c r="G28" s="335">
        <v>1.3406410283101367</v>
      </c>
      <c r="H28" s="335">
        <v>1.3734745939775304</v>
      </c>
      <c r="I28" s="334">
        <v>0.11682661964093496</v>
      </c>
      <c r="J28" s="334">
        <v>0.46759536533472518</v>
      </c>
      <c r="K28" s="334">
        <v>6.0012999999999997E-2</v>
      </c>
      <c r="L28" s="334">
        <v>0.12078656869399591</v>
      </c>
      <c r="M28" s="334">
        <v>0.10812528595457839</v>
      </c>
      <c r="N28" s="335">
        <v>1.7612558090904804</v>
      </c>
      <c r="O28" s="335">
        <v>2.7734521369698855</v>
      </c>
      <c r="P28" s="335">
        <v>20.855727415823178</v>
      </c>
      <c r="Q28" s="335">
        <v>31.704509802256045</v>
      </c>
      <c r="R28" s="335">
        <v>4.0439562017864388</v>
      </c>
      <c r="S28" s="335">
        <v>68.107929966667882</v>
      </c>
      <c r="T28" s="334">
        <v>0.22344053681122392</v>
      </c>
      <c r="U28" s="334">
        <v>6.4868867893916993E-2</v>
      </c>
      <c r="V28" s="334">
        <v>5.0299105152008756E-2</v>
      </c>
      <c r="W28" s="334">
        <v>0.93357455644194853</v>
      </c>
      <c r="X28" s="334">
        <v>9.6187334184243495E-2</v>
      </c>
      <c r="Y28" s="334">
        <v>0.54340659407642178</v>
      </c>
      <c r="Z28" s="334">
        <v>0.54340659407642178</v>
      </c>
      <c r="AA28" s="336">
        <v>8.6729418501004379E-2</v>
      </c>
    </row>
    <row r="29" spans="1:27" s="233" customFormat="1">
      <c r="A29" s="247" t="s">
        <v>662</v>
      </c>
      <c r="B29" s="333">
        <v>122</v>
      </c>
      <c r="C29" s="334">
        <v>4.8787200000000003E-2</v>
      </c>
      <c r="D29" s="334">
        <v>6.024299069552206E-2</v>
      </c>
      <c r="E29" s="334">
        <v>8.0679304960385986E-2</v>
      </c>
      <c r="F29" s="334">
        <v>0.20220399709982156</v>
      </c>
      <c r="G29" s="335">
        <v>1.1925872612470574</v>
      </c>
      <c r="H29" s="335">
        <v>1.1970577265762667</v>
      </c>
      <c r="I29" s="334">
        <v>0.10689435000624381</v>
      </c>
      <c r="J29" s="334">
        <v>0.43633523856329487</v>
      </c>
      <c r="K29" s="334">
        <v>5.7771999999999997E-2</v>
      </c>
      <c r="L29" s="334">
        <v>0.14040778496025744</v>
      </c>
      <c r="M29" s="334">
        <v>9.7939266948998557E-2</v>
      </c>
      <c r="N29" s="335">
        <v>1.9058982485219271</v>
      </c>
      <c r="O29" s="335">
        <v>1.0392607057341356</v>
      </c>
      <c r="P29" s="335">
        <v>10.741688959550116</v>
      </c>
      <c r="Q29" s="335">
        <v>16.901404128814693</v>
      </c>
      <c r="R29" s="335">
        <v>2.0397301775679146</v>
      </c>
      <c r="S29" s="335">
        <v>41.301785889436609</v>
      </c>
      <c r="T29" s="334">
        <v>5.1906856048876779E-2</v>
      </c>
      <c r="U29" s="334">
        <v>3.8745979626150055E-2</v>
      </c>
      <c r="V29" s="334">
        <v>2.6250634106916984E-2</v>
      </c>
      <c r="W29" s="334">
        <v>0.53655266751604846</v>
      </c>
      <c r="X29" s="334">
        <v>9.6034860378236345E-2</v>
      </c>
      <c r="Y29" s="334">
        <v>0.26030295911105944</v>
      </c>
      <c r="Z29" s="334">
        <v>0.2603029591110595</v>
      </c>
      <c r="AA29" s="336">
        <v>6.2403961466475165E-2</v>
      </c>
    </row>
    <row r="30" spans="1:27" s="233" customFormat="1">
      <c r="A30" s="247" t="s">
        <v>663</v>
      </c>
      <c r="B30" s="333">
        <v>1481</v>
      </c>
      <c r="C30" s="334">
        <v>6.7619835782195381E-2</v>
      </c>
      <c r="D30" s="334">
        <v>6.2851787270318718E-2</v>
      </c>
      <c r="E30" s="334">
        <v>8.2383395771374879E-2</v>
      </c>
      <c r="F30" s="334">
        <v>0.20693099783105373</v>
      </c>
      <c r="G30" s="335">
        <v>1.568504800835242</v>
      </c>
      <c r="H30" s="335">
        <v>1.5981880099626622</v>
      </c>
      <c r="I30" s="334">
        <v>0.12947798496089788</v>
      </c>
      <c r="J30" s="334">
        <v>0.44374662059269115</v>
      </c>
      <c r="K30" s="334">
        <v>5.7771999999999997E-2</v>
      </c>
      <c r="L30" s="334">
        <v>0.1241014389380188</v>
      </c>
      <c r="M30" s="334">
        <v>0.1187602444873785</v>
      </c>
      <c r="N30" s="335">
        <v>1.696701573690425</v>
      </c>
      <c r="O30" s="335">
        <v>2.2285380173191371</v>
      </c>
      <c r="P30" s="335">
        <v>18.73319590271263</v>
      </c>
      <c r="Q30" s="335">
        <v>33.642287848667124</v>
      </c>
      <c r="R30" s="335">
        <v>3.3219114646819925</v>
      </c>
      <c r="S30" s="335">
        <v>71.383561220512831</v>
      </c>
      <c r="T30" s="334">
        <v>0.18422333239155061</v>
      </c>
      <c r="U30" s="334">
        <v>5.5899080378214401E-2</v>
      </c>
      <c r="V30" s="334">
        <v>3.5783296439127261E-2</v>
      </c>
      <c r="W30" s="334">
        <v>1.0768188565104226</v>
      </c>
      <c r="X30" s="334">
        <v>8.8332562339955262E-2</v>
      </c>
      <c r="Y30" s="334">
        <v>0.47384137845379104</v>
      </c>
      <c r="Z30" s="334">
        <v>0.47384137845379104</v>
      </c>
      <c r="AA30" s="336">
        <v>6.619619065040791E-2</v>
      </c>
    </row>
    <row r="31" spans="1:27" s="233" customFormat="1">
      <c r="A31" s="247" t="s">
        <v>664</v>
      </c>
      <c r="B31" s="333">
        <v>1390</v>
      </c>
      <c r="C31" s="334">
        <v>0.1039016103379722</v>
      </c>
      <c r="D31" s="334">
        <v>5.1033137474084882E-2</v>
      </c>
      <c r="E31" s="334">
        <v>7.1913704255306049E-2</v>
      </c>
      <c r="F31" s="334">
        <v>0.23493899933213669</v>
      </c>
      <c r="G31" s="335">
        <v>0.75931739468570125</v>
      </c>
      <c r="H31" s="335">
        <v>1.0010491996782473</v>
      </c>
      <c r="I31" s="334">
        <v>9.5859069941885339E-2</v>
      </c>
      <c r="J31" s="334">
        <v>0.40133342661501314</v>
      </c>
      <c r="K31" s="334">
        <v>5.7771999999999997E-2</v>
      </c>
      <c r="L31" s="334">
        <v>0.43359423189667623</v>
      </c>
      <c r="M31" s="334">
        <v>7.298965107188389E-2</v>
      </c>
      <c r="N31" s="335">
        <v>1.8622198609708001</v>
      </c>
      <c r="O31" s="335">
        <v>0.83314171639045531</v>
      </c>
      <c r="P31" s="335">
        <v>11.256761786655979</v>
      </c>
      <c r="Q31" s="335">
        <v>15.732477012202912</v>
      </c>
      <c r="R31" s="335">
        <v>1.3387972699294963</v>
      </c>
      <c r="S31" s="335">
        <v>54.775238814085562</v>
      </c>
      <c r="T31" s="334">
        <v>0.16674207448018599</v>
      </c>
      <c r="U31" s="334">
        <v>3.0976336075296092E-2</v>
      </c>
      <c r="V31" s="334">
        <v>2.0303914728097533E-2</v>
      </c>
      <c r="W31" s="334">
        <v>1.3340581872026465</v>
      </c>
      <c r="X31" s="334">
        <v>0.1038389635201734</v>
      </c>
      <c r="Y31" s="334">
        <v>0.57129754061271154</v>
      </c>
      <c r="Z31" s="334">
        <v>0.57129754061271154</v>
      </c>
      <c r="AA31" s="336">
        <v>5.0754487951808931E-2</v>
      </c>
    </row>
    <row r="32" spans="1:27" s="233" customFormat="1">
      <c r="A32" s="247" t="s">
        <v>665</v>
      </c>
      <c r="B32" s="333">
        <v>733</v>
      </c>
      <c r="C32" s="334">
        <v>9.8964817073170716E-2</v>
      </c>
      <c r="D32" s="334">
        <v>0.11643670448755805</v>
      </c>
      <c r="E32" s="334">
        <v>0.11040823320939556</v>
      </c>
      <c r="F32" s="334">
        <v>0.16885804183095149</v>
      </c>
      <c r="G32" s="335">
        <v>0.98207732049913821</v>
      </c>
      <c r="H32" s="335">
        <v>1.0127306260651701</v>
      </c>
      <c r="I32" s="334">
        <v>9.651673424746908E-2</v>
      </c>
      <c r="J32" s="334">
        <v>0.47542342830251133</v>
      </c>
      <c r="K32" s="334">
        <v>6.0012999999999997E-2</v>
      </c>
      <c r="L32" s="334">
        <v>0.11294963563780057</v>
      </c>
      <c r="M32" s="334">
        <v>9.0673958891926448E-2</v>
      </c>
      <c r="N32" s="335">
        <v>1.2031860037027624</v>
      </c>
      <c r="O32" s="335">
        <v>4.0860080842464406</v>
      </c>
      <c r="P32" s="335">
        <v>18.651096019779597</v>
      </c>
      <c r="Q32" s="335">
        <v>32.796464009832683</v>
      </c>
      <c r="R32" s="335">
        <v>3.8797563928623853</v>
      </c>
      <c r="S32" s="335">
        <v>120.39476578673255</v>
      </c>
      <c r="T32" s="334">
        <v>2.6582819469597525E-2</v>
      </c>
      <c r="U32" s="334">
        <v>4.0180029311431581E-2</v>
      </c>
      <c r="V32" s="334">
        <v>-3.5189691578712203E-3</v>
      </c>
      <c r="W32" s="334">
        <v>-5.0990555067653431E-2</v>
      </c>
      <c r="X32" s="334">
        <v>5.6766290337189537E-2</v>
      </c>
      <c r="Y32" s="334">
        <v>0.49728111270412145</v>
      </c>
      <c r="Z32" s="334">
        <v>0.49728111270412145</v>
      </c>
      <c r="AA32" s="336">
        <v>0.11653235670360036</v>
      </c>
    </row>
    <row r="33" spans="1:27" s="233" customFormat="1">
      <c r="A33" s="247" t="s">
        <v>666</v>
      </c>
      <c r="B33" s="333">
        <v>397</v>
      </c>
      <c r="C33" s="334">
        <v>0.12319487394957986</v>
      </c>
      <c r="D33" s="334">
        <v>0.11273293098585103</v>
      </c>
      <c r="E33" s="334">
        <v>0.10410726284517295</v>
      </c>
      <c r="F33" s="334">
        <v>0.21885799126683703</v>
      </c>
      <c r="G33" s="335">
        <v>0.90799725633515016</v>
      </c>
      <c r="H33" s="335">
        <v>1.1018148967549475</v>
      </c>
      <c r="I33" s="334">
        <v>0.10153217868730355</v>
      </c>
      <c r="J33" s="334">
        <v>0.43977944750997633</v>
      </c>
      <c r="K33" s="334">
        <v>5.7771999999999997E-2</v>
      </c>
      <c r="L33" s="334">
        <v>0.26307410667273379</v>
      </c>
      <c r="M33" s="334">
        <v>8.6164195674652083E-2</v>
      </c>
      <c r="N33" s="335">
        <v>1.0387501857649888</v>
      </c>
      <c r="O33" s="335">
        <v>2.939585935446154</v>
      </c>
      <c r="P33" s="335">
        <v>14.735941956636887</v>
      </c>
      <c r="Q33" s="335">
        <v>24.955856451735265</v>
      </c>
      <c r="R33" s="335">
        <v>3.2306662621385187</v>
      </c>
      <c r="S33" s="335">
        <v>63.540470719470072</v>
      </c>
      <c r="T33" s="334">
        <v>0.15516031504523894</v>
      </c>
      <c r="U33" s="334">
        <v>8.1838145171979168E-2</v>
      </c>
      <c r="V33" s="334">
        <v>8.245893421818988E-2</v>
      </c>
      <c r="W33" s="334">
        <v>1.1644959002531665</v>
      </c>
      <c r="X33" s="334">
        <v>0.10153599870746592</v>
      </c>
      <c r="Y33" s="334">
        <v>0.48991902466524551</v>
      </c>
      <c r="Z33" s="334">
        <v>0.48991902466524551</v>
      </c>
      <c r="AA33" s="336">
        <v>0.11952599853848489</v>
      </c>
    </row>
    <row r="34" spans="1:27" s="233" customFormat="1">
      <c r="A34" s="247" t="s">
        <v>667</v>
      </c>
      <c r="B34" s="333">
        <v>428</v>
      </c>
      <c r="C34" s="334">
        <v>0.14780628125000012</v>
      </c>
      <c r="D34" s="334">
        <v>6.3909442548588866E-2</v>
      </c>
      <c r="E34" s="334">
        <v>6.7788850856498259E-2</v>
      </c>
      <c r="F34" s="334">
        <v>0.22874728505035946</v>
      </c>
      <c r="G34" s="335">
        <v>0.49267149564040968</v>
      </c>
      <c r="H34" s="335">
        <v>0.66989834457188224</v>
      </c>
      <c r="I34" s="334">
        <v>7.7215276799396965E-2</v>
      </c>
      <c r="J34" s="334">
        <v>0.36166808063019806</v>
      </c>
      <c r="K34" s="334">
        <v>5.7771999999999997E-2</v>
      </c>
      <c r="L34" s="334">
        <v>0.37123000165562564</v>
      </c>
      <c r="M34" s="334">
        <v>6.4556321418327942E-2</v>
      </c>
      <c r="N34" s="335">
        <v>1.2977621876620926</v>
      </c>
      <c r="O34" s="335">
        <v>1.22078861958216</v>
      </c>
      <c r="P34" s="335">
        <v>12.908282333994162</v>
      </c>
      <c r="Q34" s="335">
        <v>18.578626634648224</v>
      </c>
      <c r="R34" s="335">
        <v>1.696640134676846</v>
      </c>
      <c r="S34" s="335">
        <v>48.07524004908791</v>
      </c>
      <c r="T34" s="334">
        <v>0.18536822243263165</v>
      </c>
      <c r="U34" s="334">
        <v>4.0750088462311186E-2</v>
      </c>
      <c r="V34" s="334">
        <v>2.7366645599493433E-2</v>
      </c>
      <c r="W34" s="334">
        <v>0.40680700754670129</v>
      </c>
      <c r="X34" s="334">
        <v>9.833823007303287E-2</v>
      </c>
      <c r="Y34" s="334">
        <v>0.44472077902944801</v>
      </c>
      <c r="Z34" s="334">
        <v>0.44472077902944807</v>
      </c>
      <c r="AA34" s="336">
        <v>6.4952775494154055E-2</v>
      </c>
    </row>
    <row r="35" spans="1:27" s="233" customFormat="1">
      <c r="A35" s="247" t="s">
        <v>668</v>
      </c>
      <c r="B35" s="333">
        <v>1138</v>
      </c>
      <c r="C35" s="334">
        <v>0.17024585365853662</v>
      </c>
      <c r="D35" s="334">
        <v>0.14125585647108771</v>
      </c>
      <c r="E35" s="334" t="s">
        <v>93</v>
      </c>
      <c r="F35" s="334">
        <v>0.1740499833727564</v>
      </c>
      <c r="G35" s="335">
        <v>0.29511483099160984</v>
      </c>
      <c r="H35" s="335">
        <v>0.82348795126989627</v>
      </c>
      <c r="I35" s="334">
        <v>8.5862371656495157E-2</v>
      </c>
      <c r="J35" s="334">
        <v>0.41344469247491239</v>
      </c>
      <c r="K35" s="334">
        <v>5.7771999999999997E-2</v>
      </c>
      <c r="L35" s="334">
        <v>0.72588807150597578</v>
      </c>
      <c r="M35" s="334">
        <v>5.4832741309146893E-2</v>
      </c>
      <c r="N35" s="335">
        <v>9.3708297337438934E-2</v>
      </c>
      <c r="O35" s="335">
        <v>13.715456497959272</v>
      </c>
      <c r="P35" s="335">
        <v>43.421409280053673</v>
      </c>
      <c r="Q35" s="335">
        <v>52.914940956907799</v>
      </c>
      <c r="R35" s="335">
        <v>2.3783453023768293</v>
      </c>
      <c r="S35" s="335">
        <v>36.779695986177785</v>
      </c>
      <c r="T35" s="334" t="s">
        <v>93</v>
      </c>
      <c r="U35" s="334">
        <v>3.7714313941181937E-2</v>
      </c>
      <c r="V35" s="334">
        <v>1.6297813218439729E-2</v>
      </c>
      <c r="W35" s="334">
        <v>0.17590846351863976</v>
      </c>
      <c r="X35" s="334">
        <v>0.18825467527022147</v>
      </c>
      <c r="Y35" s="334">
        <v>0.25599296291776796</v>
      </c>
      <c r="Z35" s="334">
        <v>0.25599296291776796</v>
      </c>
      <c r="AA35" s="336">
        <v>0.14288622571376799</v>
      </c>
    </row>
    <row r="36" spans="1:27" s="233" customFormat="1">
      <c r="A36" s="247" t="s">
        <v>669</v>
      </c>
      <c r="B36" s="333">
        <v>1450</v>
      </c>
      <c r="C36" s="334">
        <v>9.6518456561922261E-2</v>
      </c>
      <c r="D36" s="334">
        <v>8.5358248393229127E-2</v>
      </c>
      <c r="E36" s="334">
        <v>0.11973510077420262</v>
      </c>
      <c r="F36" s="334">
        <v>0.22517313265473884</v>
      </c>
      <c r="G36" s="335">
        <v>0.56022534622642539</v>
      </c>
      <c r="H36" s="335">
        <v>0.67372445145960558</v>
      </c>
      <c r="I36" s="334">
        <v>7.7430686617175795E-2</v>
      </c>
      <c r="J36" s="334">
        <v>0.33904800918943917</v>
      </c>
      <c r="K36" s="334">
        <v>5.7771999999999997E-2</v>
      </c>
      <c r="L36" s="334">
        <v>0.27061920529332478</v>
      </c>
      <c r="M36" s="334">
        <v>6.8144268698579313E-2</v>
      </c>
      <c r="N36" s="335">
        <v>1.7085376710318929</v>
      </c>
      <c r="O36" s="335">
        <v>1.3434507919660956</v>
      </c>
      <c r="P36" s="335">
        <v>11.072075959562463</v>
      </c>
      <c r="Q36" s="335">
        <v>15.460106212089006</v>
      </c>
      <c r="R36" s="335">
        <v>2.1902572557781856</v>
      </c>
      <c r="S36" s="335">
        <v>39.76722771221749</v>
      </c>
      <c r="T36" s="334">
        <v>0.10570015898008055</v>
      </c>
      <c r="U36" s="334">
        <v>4.1010741151126628E-2</v>
      </c>
      <c r="V36" s="334">
        <v>2.0243842028248003E-2</v>
      </c>
      <c r="W36" s="334">
        <v>0.37750591819489787</v>
      </c>
      <c r="X36" s="334">
        <v>0.1054317206378861</v>
      </c>
      <c r="Y36" s="334">
        <v>0.73326113092375789</v>
      </c>
      <c r="Z36" s="334">
        <v>0.73326113092375789</v>
      </c>
      <c r="AA36" s="336">
        <v>8.5970318297611578E-2</v>
      </c>
    </row>
    <row r="37" spans="1:27" s="233" customFormat="1">
      <c r="A37" s="247" t="s">
        <v>670</v>
      </c>
      <c r="B37" s="333">
        <v>183</v>
      </c>
      <c r="C37" s="334">
        <v>0.17566223076923074</v>
      </c>
      <c r="D37" s="334">
        <v>2.541970227621734E-2</v>
      </c>
      <c r="E37" s="334">
        <v>0.10674987618913893</v>
      </c>
      <c r="F37" s="334">
        <v>0.24136110689220225</v>
      </c>
      <c r="G37" s="335">
        <v>0.49887742197895796</v>
      </c>
      <c r="H37" s="335">
        <v>0.68481758765958034</v>
      </c>
      <c r="I37" s="334">
        <v>7.8055230185234373E-2</v>
      </c>
      <c r="J37" s="334">
        <v>0.35990669601267816</v>
      </c>
      <c r="K37" s="334">
        <v>5.7771999999999997E-2</v>
      </c>
      <c r="L37" s="334">
        <v>0.36806255215770384</v>
      </c>
      <c r="M37" s="334">
        <v>6.5195129550317074E-2</v>
      </c>
      <c r="N37" s="335">
        <v>5.1703356564799483</v>
      </c>
      <c r="O37" s="335">
        <v>0.40639245191852991</v>
      </c>
      <c r="P37" s="335">
        <v>10.430921814187219</v>
      </c>
      <c r="Q37" s="335">
        <v>16.010708077169035</v>
      </c>
      <c r="R37" s="335">
        <v>2.487621710645108</v>
      </c>
      <c r="S37" s="335">
        <v>38.004589119017268</v>
      </c>
      <c r="T37" s="334">
        <v>6.759840602004305E-2</v>
      </c>
      <c r="U37" s="334">
        <v>1.1302319046604548E-2</v>
      </c>
      <c r="V37" s="334">
        <v>1.0736174909635713E-2</v>
      </c>
      <c r="W37" s="334">
        <v>1.0489393185820286</v>
      </c>
      <c r="X37" s="334">
        <v>9.7394053697848648E-2</v>
      </c>
      <c r="Y37" s="334">
        <v>0.52831596944849923</v>
      </c>
      <c r="Z37" s="334">
        <v>0.52831596944849923</v>
      </c>
      <c r="AA37" s="336">
        <v>2.5079007307986331E-2</v>
      </c>
    </row>
    <row r="38" spans="1:27" s="233" customFormat="1">
      <c r="A38" s="247" t="s">
        <v>671</v>
      </c>
      <c r="B38" s="333">
        <v>383</v>
      </c>
      <c r="C38" s="334">
        <v>5.8265655172413791E-2</v>
      </c>
      <c r="D38" s="334">
        <v>7.6458433925366998E-2</v>
      </c>
      <c r="E38" s="334">
        <v>0.12607849884713523</v>
      </c>
      <c r="F38" s="334">
        <v>0.17632848397893858</v>
      </c>
      <c r="G38" s="335">
        <v>0.9383844270287286</v>
      </c>
      <c r="H38" s="335">
        <v>0.96750966706597286</v>
      </c>
      <c r="I38" s="334">
        <v>9.3970794255814283E-2</v>
      </c>
      <c r="J38" s="334">
        <v>0.37311961082754663</v>
      </c>
      <c r="K38" s="334">
        <v>5.7771999999999997E-2</v>
      </c>
      <c r="L38" s="334">
        <v>0.20462935114074854</v>
      </c>
      <c r="M38" s="334">
        <v>8.3564255923209541E-2</v>
      </c>
      <c r="N38" s="335">
        <v>2.2730023498401595</v>
      </c>
      <c r="O38" s="335">
        <v>1.1591419602560977</v>
      </c>
      <c r="P38" s="335">
        <v>10.626401957357944</v>
      </c>
      <c r="Q38" s="335">
        <v>14.661645402454408</v>
      </c>
      <c r="R38" s="335">
        <v>2.1488890721361553</v>
      </c>
      <c r="S38" s="335">
        <v>46.608160212831258</v>
      </c>
      <c r="T38" s="334">
        <v>6.010427322295106E-2</v>
      </c>
      <c r="U38" s="334">
        <v>2.8334410043626398E-2</v>
      </c>
      <c r="V38" s="334">
        <v>2.2740231852081242E-2</v>
      </c>
      <c r="W38" s="334">
        <v>0.32721425217960226</v>
      </c>
      <c r="X38" s="334">
        <v>0.12494717102737499</v>
      </c>
      <c r="Y38" s="334">
        <v>0.67468069271665476</v>
      </c>
      <c r="Z38" s="334">
        <v>0.67468069271665476</v>
      </c>
      <c r="AA38" s="336">
        <v>7.776380429490147E-2</v>
      </c>
    </row>
    <row r="39" spans="1:27" s="233" customFormat="1">
      <c r="A39" s="247" t="s">
        <v>502</v>
      </c>
      <c r="B39" s="333">
        <v>258</v>
      </c>
      <c r="C39" s="334">
        <v>0.15465707317073177</v>
      </c>
      <c r="D39" s="334">
        <v>0.27720881594272379</v>
      </c>
      <c r="E39" s="334">
        <v>5.4897204031962597E-2</v>
      </c>
      <c r="F39" s="334">
        <v>0.16816570614983981</v>
      </c>
      <c r="G39" s="335">
        <v>0.56680021342816655</v>
      </c>
      <c r="H39" s="335">
        <v>0.83665283431558157</v>
      </c>
      <c r="I39" s="334">
        <v>8.6603554571967251E-2</v>
      </c>
      <c r="J39" s="334">
        <v>0.39025685451435643</v>
      </c>
      <c r="K39" s="334">
        <v>5.7771999999999997E-2</v>
      </c>
      <c r="L39" s="334">
        <v>0.41667017441972981</v>
      </c>
      <c r="M39" s="334">
        <v>6.8483272454058206E-2</v>
      </c>
      <c r="N39" s="335">
        <v>0.22394011640516348</v>
      </c>
      <c r="O39" s="335">
        <v>7.3845704711965876</v>
      </c>
      <c r="P39" s="335">
        <v>14.174838356803006</v>
      </c>
      <c r="Q39" s="335">
        <v>23.76529429542548</v>
      </c>
      <c r="R39" s="335">
        <v>1.8561252302849032</v>
      </c>
      <c r="S39" s="335">
        <v>72.000570895615894</v>
      </c>
      <c r="T39" s="334">
        <v>0.10292913586381727</v>
      </c>
      <c r="U39" s="334">
        <v>0.57851582133952706</v>
      </c>
      <c r="V39" s="334">
        <v>0.43682912648525624</v>
      </c>
      <c r="W39" s="334">
        <v>2.1095259986809864</v>
      </c>
      <c r="X39" s="334">
        <v>5.5770977538363305E-2</v>
      </c>
      <c r="Y39" s="334">
        <v>1.0941592910306226</v>
      </c>
      <c r="Z39" s="334">
        <v>1.0941592910306226</v>
      </c>
      <c r="AA39" s="336">
        <v>0.27635816643665156</v>
      </c>
    </row>
    <row r="40" spans="1:27" s="233" customFormat="1">
      <c r="A40" s="247" t="s">
        <v>672</v>
      </c>
      <c r="B40" s="333">
        <v>842</v>
      </c>
      <c r="C40" s="334">
        <v>0.1487204181818183</v>
      </c>
      <c r="D40" s="334">
        <v>0.14274902004586643</v>
      </c>
      <c r="E40" s="334">
        <v>0.13700397239661011</v>
      </c>
      <c r="F40" s="334">
        <v>0.17608159685714636</v>
      </c>
      <c r="G40" s="335">
        <v>1.1165102988785227</v>
      </c>
      <c r="H40" s="335">
        <v>1.1819539300300537</v>
      </c>
      <c r="I40" s="334">
        <v>0.10604400626069202</v>
      </c>
      <c r="J40" s="334">
        <v>0.48390168427392116</v>
      </c>
      <c r="K40" s="334">
        <v>6.0012999999999997E-2</v>
      </c>
      <c r="L40" s="334">
        <v>0.12173942005925363</v>
      </c>
      <c r="M40" s="334">
        <v>9.8586699292848246E-2</v>
      </c>
      <c r="N40" s="335">
        <v>1.2979371299589797</v>
      </c>
      <c r="O40" s="335">
        <v>4.1721894162098376</v>
      </c>
      <c r="P40" s="335">
        <v>18.549204606694463</v>
      </c>
      <c r="Q40" s="335">
        <v>28.097614180393862</v>
      </c>
      <c r="R40" s="335">
        <v>3.5309570672755908</v>
      </c>
      <c r="S40" s="335">
        <v>86.012620978138443</v>
      </c>
      <c r="T40" s="334">
        <v>0.26748556677127211</v>
      </c>
      <c r="U40" s="334">
        <v>4.8420564522474667E-2</v>
      </c>
      <c r="V40" s="334">
        <v>4.0250488442498948E-2</v>
      </c>
      <c r="W40" s="334">
        <v>0.49141192331256711</v>
      </c>
      <c r="X40" s="334">
        <v>9.0633294024226513E-2</v>
      </c>
      <c r="Y40" s="334">
        <v>0.47633956268317051</v>
      </c>
      <c r="Z40" s="334">
        <v>0.47633956268317057</v>
      </c>
      <c r="AA40" s="336">
        <v>0.14784296727127513</v>
      </c>
    </row>
    <row r="41" spans="1:27" s="233" customFormat="1">
      <c r="A41" s="247" t="s">
        <v>673</v>
      </c>
      <c r="B41" s="333">
        <v>478</v>
      </c>
      <c r="C41" s="334">
        <v>9.9016013513513551E-2</v>
      </c>
      <c r="D41" s="334">
        <v>3.1032761625625911E-2</v>
      </c>
      <c r="E41" s="334">
        <v>0.20715330775726026</v>
      </c>
      <c r="F41" s="334">
        <v>0.23729866475031874</v>
      </c>
      <c r="G41" s="335">
        <v>0.77867157306503187</v>
      </c>
      <c r="H41" s="335">
        <v>0.91655886724230395</v>
      </c>
      <c r="I41" s="334">
        <v>9.1102264225741719E-2</v>
      </c>
      <c r="J41" s="334">
        <v>0.42402591106783016</v>
      </c>
      <c r="K41" s="334">
        <v>5.7771999999999997E-2</v>
      </c>
      <c r="L41" s="334">
        <v>0.27602460295821835</v>
      </c>
      <c r="M41" s="334">
        <v>7.7856665910373532E-2</v>
      </c>
      <c r="N41" s="335">
        <v>8.0174903169543104</v>
      </c>
      <c r="O41" s="335">
        <v>0.49023075724184895</v>
      </c>
      <c r="P41" s="335">
        <v>11.287496549214437</v>
      </c>
      <c r="Q41" s="335">
        <v>15.306775306380244</v>
      </c>
      <c r="R41" s="335">
        <v>2.3059157056549422</v>
      </c>
      <c r="S41" s="335">
        <v>96.393080122182738</v>
      </c>
      <c r="T41" s="334">
        <v>-2.5456122847912713E-2</v>
      </c>
      <c r="U41" s="334">
        <v>6.9874458676130657E-3</v>
      </c>
      <c r="V41" s="334">
        <v>7.9490355492483136E-3</v>
      </c>
      <c r="W41" s="334">
        <v>0.51203696579652025</v>
      </c>
      <c r="X41" s="334">
        <v>8.4916050620570491E-2</v>
      </c>
      <c r="Y41" s="334">
        <v>0.53884772832218397</v>
      </c>
      <c r="Z41" s="334">
        <v>0.53884772832218397</v>
      </c>
      <c r="AA41" s="336">
        <v>3.113975705760709E-2</v>
      </c>
    </row>
    <row r="42" spans="1:27" s="233" customFormat="1">
      <c r="A42" s="247" t="s">
        <v>674</v>
      </c>
      <c r="B42" s="333">
        <v>430</v>
      </c>
      <c r="C42" s="334">
        <v>0.1298355252918289</v>
      </c>
      <c r="D42" s="334">
        <v>0.14787856254620874</v>
      </c>
      <c r="E42" s="334">
        <v>0.12540078363727983</v>
      </c>
      <c r="F42" s="334">
        <v>0.16974673339343496</v>
      </c>
      <c r="G42" s="335">
        <v>1.2072494398821825</v>
      </c>
      <c r="H42" s="335">
        <v>1.2899202129978531</v>
      </c>
      <c r="I42" s="334">
        <v>0.11212250799177914</v>
      </c>
      <c r="J42" s="334">
        <v>0.54353115703669563</v>
      </c>
      <c r="K42" s="334">
        <v>6.0012999999999997E-2</v>
      </c>
      <c r="L42" s="334">
        <v>0.12248710371956091</v>
      </c>
      <c r="M42" s="334">
        <v>0.10387486261407887</v>
      </c>
      <c r="N42" s="335">
        <v>1.086017834442093</v>
      </c>
      <c r="O42" s="335">
        <v>5.3224395214821909</v>
      </c>
      <c r="P42" s="335">
        <v>20.956993620629738</v>
      </c>
      <c r="Q42" s="335">
        <v>33.858261187836362</v>
      </c>
      <c r="R42" s="335">
        <v>3.8670022759556835</v>
      </c>
      <c r="S42" s="335">
        <v>321.79834790150278</v>
      </c>
      <c r="T42" s="334">
        <v>0.24363886256444162</v>
      </c>
      <c r="U42" s="334">
        <v>6.7081032262404902E-2</v>
      </c>
      <c r="V42" s="334">
        <v>3.6492186821953085E-2</v>
      </c>
      <c r="W42" s="334">
        <v>0.38425825772166067</v>
      </c>
      <c r="X42" s="334">
        <v>7.9344508325378441E-2</v>
      </c>
      <c r="Y42" s="334">
        <v>0.1919090959935171</v>
      </c>
      <c r="Z42" s="334">
        <v>0.19190909599351713</v>
      </c>
      <c r="AA42" s="336">
        <v>0.14950916247337984</v>
      </c>
    </row>
    <row r="43" spans="1:27" s="233" customFormat="1">
      <c r="A43" s="247" t="s">
        <v>675</v>
      </c>
      <c r="B43" s="333">
        <v>160</v>
      </c>
      <c r="C43" s="334">
        <v>7.172586466165419E-2</v>
      </c>
      <c r="D43" s="334">
        <v>0.10714292892588488</v>
      </c>
      <c r="E43" s="334">
        <v>0.10363608542706</v>
      </c>
      <c r="F43" s="334">
        <v>0.24790571139200948</v>
      </c>
      <c r="G43" s="335">
        <v>0.82239960265891954</v>
      </c>
      <c r="H43" s="335">
        <v>0.96023095128119218</v>
      </c>
      <c r="I43" s="334">
        <v>9.3561002557131123E-2</v>
      </c>
      <c r="J43" s="334">
        <v>0.3237403309830183</v>
      </c>
      <c r="K43" s="334">
        <v>5.7771999999999997E-2</v>
      </c>
      <c r="L43" s="334">
        <v>0.28520807142965304</v>
      </c>
      <c r="M43" s="334">
        <v>7.9173464933162616E-2</v>
      </c>
      <c r="N43" s="335">
        <v>1.2692985554148934</v>
      </c>
      <c r="O43" s="335">
        <v>1.1420542969778964</v>
      </c>
      <c r="P43" s="335">
        <v>9.4297074494674256</v>
      </c>
      <c r="Q43" s="335">
        <v>11.072664966899424</v>
      </c>
      <c r="R43" s="335">
        <v>1.3649958424099449</v>
      </c>
      <c r="S43" s="335">
        <v>23.786707375890142</v>
      </c>
      <c r="T43" s="334">
        <v>0.67330954380391694</v>
      </c>
      <c r="U43" s="334">
        <v>5.7214845186632042E-3</v>
      </c>
      <c r="V43" s="334">
        <v>5.7189247450365249E-3</v>
      </c>
      <c r="W43" s="334">
        <v>0.49894474132840821</v>
      </c>
      <c r="X43" s="334">
        <v>0.11465150572834348</v>
      </c>
      <c r="Y43" s="334">
        <v>0.24397300149014156</v>
      </c>
      <c r="Z43" s="334">
        <v>0.24397300149014156</v>
      </c>
      <c r="AA43" s="336">
        <v>0.10190992357484241</v>
      </c>
    </row>
    <row r="44" spans="1:27" s="233" customFormat="1">
      <c r="A44" s="247" t="s">
        <v>676</v>
      </c>
      <c r="B44" s="333">
        <v>249</v>
      </c>
      <c r="C44" s="334">
        <v>0.14257273809523807</v>
      </c>
      <c r="D44" s="334">
        <v>0.12267999695123254</v>
      </c>
      <c r="E44" s="334">
        <v>0.13209802635759535</v>
      </c>
      <c r="F44" s="334">
        <v>0.20444741882278555</v>
      </c>
      <c r="G44" s="335">
        <v>0.58385148574003343</v>
      </c>
      <c r="H44" s="335">
        <v>0.76017992531225853</v>
      </c>
      <c r="I44" s="334">
        <v>8.2298129795080166E-2</v>
      </c>
      <c r="J44" s="334">
        <v>0.36000622935158361</v>
      </c>
      <c r="K44" s="334">
        <v>5.7771999999999997E-2</v>
      </c>
      <c r="L44" s="334">
        <v>0.31779434713054949</v>
      </c>
      <c r="M44" s="334">
        <v>6.9846030058024033E-2</v>
      </c>
      <c r="N44" s="335">
        <v>1.3636037610293796</v>
      </c>
      <c r="O44" s="335">
        <v>2.1339760362843805</v>
      </c>
      <c r="P44" s="335">
        <v>11.887709487104136</v>
      </c>
      <c r="Q44" s="335">
        <v>17.798320930207474</v>
      </c>
      <c r="R44" s="335">
        <v>3.5496561305908965</v>
      </c>
      <c r="S44" s="335">
        <v>46.055186435808899</v>
      </c>
      <c r="T44" s="334">
        <v>5.674738642804298E-2</v>
      </c>
      <c r="U44" s="334">
        <v>6.7921719959345206E-2</v>
      </c>
      <c r="V44" s="334">
        <v>3.2702156782813289E-2</v>
      </c>
      <c r="W44" s="334">
        <v>0.36362105923150129</v>
      </c>
      <c r="X44" s="334">
        <v>0.17643006739581205</v>
      </c>
      <c r="Y44" s="334">
        <v>0.27117853706805428</v>
      </c>
      <c r="Z44" s="334">
        <v>0.27117853706805428</v>
      </c>
      <c r="AA44" s="336">
        <v>0.11911368711178436</v>
      </c>
    </row>
    <row r="45" spans="1:27" s="233" customFormat="1">
      <c r="A45" s="247" t="s">
        <v>677</v>
      </c>
      <c r="B45" s="333">
        <v>656</v>
      </c>
      <c r="C45" s="334">
        <v>0.18380844357976664</v>
      </c>
      <c r="D45" s="334">
        <v>0.16664109776586078</v>
      </c>
      <c r="E45" s="334">
        <v>0.11804602744851275</v>
      </c>
      <c r="F45" s="334">
        <v>0.18993968840023565</v>
      </c>
      <c r="G45" s="335">
        <v>0.65622444872734353</v>
      </c>
      <c r="H45" s="335">
        <v>0.79843023812672287</v>
      </c>
      <c r="I45" s="334">
        <v>8.4451622406534504E-2</v>
      </c>
      <c r="J45" s="334">
        <v>0.39273902826571117</v>
      </c>
      <c r="K45" s="334">
        <v>5.7771999999999997E-2</v>
      </c>
      <c r="L45" s="334">
        <v>0.28693765343770794</v>
      </c>
      <c r="M45" s="334">
        <v>7.2590658870175295E-2</v>
      </c>
      <c r="N45" s="335">
        <v>0.94173141848996189</v>
      </c>
      <c r="O45" s="335">
        <v>3.4487041203919846</v>
      </c>
      <c r="P45" s="335">
        <v>13.868181903700769</v>
      </c>
      <c r="Q45" s="335">
        <v>22.122563237973843</v>
      </c>
      <c r="R45" s="335">
        <v>4.5374401661213346</v>
      </c>
      <c r="S45" s="335">
        <v>74.501159238531685</v>
      </c>
      <c r="T45" s="334">
        <v>-3.7025642995356309E-2</v>
      </c>
      <c r="U45" s="334">
        <v>7.0659022345093372E-2</v>
      </c>
      <c r="V45" s="334">
        <v>1.9420092759141142E-2</v>
      </c>
      <c r="W45" s="334">
        <v>0.22443400325375706</v>
      </c>
      <c r="X45" s="334">
        <v>0.18953049072361661</v>
      </c>
      <c r="Y45" s="334">
        <v>0.36702024019977481</v>
      </c>
      <c r="Z45" s="334">
        <v>0.36702024019977486</v>
      </c>
      <c r="AA45" s="336">
        <v>0.15597411353037655</v>
      </c>
    </row>
    <row r="46" spans="1:27" s="233" customFormat="1">
      <c r="A46" s="247" t="s">
        <v>678</v>
      </c>
      <c r="B46" s="333">
        <v>588</v>
      </c>
      <c r="C46" s="334">
        <v>8.2152809278350503E-2</v>
      </c>
      <c r="D46" s="334">
        <v>0.16171888162125828</v>
      </c>
      <c r="E46" s="334">
        <v>0.23080676138017858</v>
      </c>
      <c r="F46" s="334">
        <v>0.23569724315525914</v>
      </c>
      <c r="G46" s="335">
        <v>0.77414442400605121</v>
      </c>
      <c r="H46" s="335">
        <v>0.83010589784014777</v>
      </c>
      <c r="I46" s="334">
        <v>8.6234962048400324E-2</v>
      </c>
      <c r="J46" s="334">
        <v>0.40417662949601962</v>
      </c>
      <c r="K46" s="334">
        <v>5.7771999999999997E-2</v>
      </c>
      <c r="L46" s="334">
        <v>0.13550275870524986</v>
      </c>
      <c r="M46" s="334">
        <v>8.0392121244048431E-2</v>
      </c>
      <c r="N46" s="335">
        <v>1.7936710513632075</v>
      </c>
      <c r="O46" s="335">
        <v>2.9023577342007028</v>
      </c>
      <c r="P46" s="335">
        <v>14.555484890232774</v>
      </c>
      <c r="Q46" s="335">
        <v>17.738636226195467</v>
      </c>
      <c r="R46" s="335">
        <v>4.625730847103978</v>
      </c>
      <c r="S46" s="335">
        <v>68.847670784637927</v>
      </c>
      <c r="T46" s="334">
        <v>5.926111688080881E-2</v>
      </c>
      <c r="U46" s="334">
        <v>3.852638846958889E-2</v>
      </c>
      <c r="V46" s="334">
        <v>2.191768875367988E-2</v>
      </c>
      <c r="W46" s="334">
        <v>0.23698493712281565</v>
      </c>
      <c r="X46" s="334">
        <v>0.18014873224411881</v>
      </c>
      <c r="Y46" s="334">
        <v>0.72418688865677183</v>
      </c>
      <c r="Z46" s="334">
        <v>0.72418688865677183</v>
      </c>
      <c r="AA46" s="336">
        <v>0.16336752086201686</v>
      </c>
    </row>
    <row r="47" spans="1:27" s="233" customFormat="1">
      <c r="A47" s="247" t="s">
        <v>679</v>
      </c>
      <c r="B47" s="333">
        <v>86</v>
      </c>
      <c r="C47" s="334">
        <v>0.10515932203389827</v>
      </c>
      <c r="D47" s="334">
        <v>0.11783275379023929</v>
      </c>
      <c r="E47" s="334">
        <v>0.22813484005297627</v>
      </c>
      <c r="F47" s="334">
        <v>0.25689126177174693</v>
      </c>
      <c r="G47" s="335">
        <v>0.87373594626591633</v>
      </c>
      <c r="H47" s="335">
        <v>1.023720593319527</v>
      </c>
      <c r="I47" s="334">
        <v>9.7135469403889368E-2</v>
      </c>
      <c r="J47" s="334">
        <v>0.38002786737468236</v>
      </c>
      <c r="K47" s="334">
        <v>5.7771999999999997E-2</v>
      </c>
      <c r="L47" s="334">
        <v>0.242311019702493</v>
      </c>
      <c r="M47" s="334">
        <v>8.4045773404790011E-2</v>
      </c>
      <c r="N47" s="335">
        <v>2.7131088826239425</v>
      </c>
      <c r="O47" s="335">
        <v>1.8827178508168099</v>
      </c>
      <c r="P47" s="335">
        <v>10.769732154027876</v>
      </c>
      <c r="Q47" s="335">
        <v>15.450292918568586</v>
      </c>
      <c r="R47" s="335">
        <v>3.2851009786830443</v>
      </c>
      <c r="S47" s="335">
        <v>36.746985408056098</v>
      </c>
      <c r="T47" s="334">
        <v>0.14122948120024681</v>
      </c>
      <c r="U47" s="334">
        <v>1.8928976615915496E-2</v>
      </c>
      <c r="V47" s="334">
        <v>-1.5897942130674692E-2</v>
      </c>
      <c r="W47" s="334">
        <v>-0.16290849539681423</v>
      </c>
      <c r="X47" s="334">
        <v>0.14547765798174869</v>
      </c>
      <c r="Y47" s="334">
        <v>0.37447220126481462</v>
      </c>
      <c r="Z47" s="334">
        <v>0.37447220126481462</v>
      </c>
      <c r="AA47" s="336">
        <v>0.11761319185366924</v>
      </c>
    </row>
    <row r="48" spans="1:27" s="233" customFormat="1">
      <c r="A48" s="247" t="s">
        <v>680</v>
      </c>
      <c r="B48" s="333">
        <v>204</v>
      </c>
      <c r="C48" s="334">
        <v>0.11401363636363636</v>
      </c>
      <c r="D48" s="334">
        <v>0.15445657090607279</v>
      </c>
      <c r="E48" s="334">
        <v>0.25623976617078165</v>
      </c>
      <c r="F48" s="334">
        <v>0.24866775409535186</v>
      </c>
      <c r="G48" s="335">
        <v>0.47307821960009511</v>
      </c>
      <c r="H48" s="335">
        <v>0.51023558184467732</v>
      </c>
      <c r="I48" s="334">
        <v>6.822626325785533E-2</v>
      </c>
      <c r="J48" s="334">
        <v>0.31989386190165692</v>
      </c>
      <c r="K48" s="334">
        <v>5.7771999999999997E-2</v>
      </c>
      <c r="L48" s="334">
        <v>0.23113277375837721</v>
      </c>
      <c r="M48" s="334">
        <v>6.2422283632434086E-2</v>
      </c>
      <c r="N48" s="335">
        <v>1.9599119037248687</v>
      </c>
      <c r="O48" s="335">
        <v>1.5635385296312037</v>
      </c>
      <c r="P48" s="335">
        <v>9.0022547702932467</v>
      </c>
      <c r="Q48" s="335">
        <v>8.9039548471428329</v>
      </c>
      <c r="R48" s="335">
        <v>2.2185757725911843</v>
      </c>
      <c r="S48" s="335">
        <v>16.331140642113464</v>
      </c>
      <c r="T48" s="334">
        <v>0.14788337988694164</v>
      </c>
      <c r="U48" s="334">
        <v>7.3596228024263126E-3</v>
      </c>
      <c r="V48" s="334">
        <v>5.7494450288650127E-2</v>
      </c>
      <c r="W48" s="334">
        <v>0.40707545600201306</v>
      </c>
      <c r="X48" s="334">
        <v>0.1852572774797504</v>
      </c>
      <c r="Y48" s="334">
        <v>0.41336158913853344</v>
      </c>
      <c r="Z48" s="334">
        <v>0.41336158913853338</v>
      </c>
      <c r="AA48" s="336">
        <v>0.15465575475705437</v>
      </c>
    </row>
    <row r="49" spans="1:27" s="233" customFormat="1">
      <c r="A49" s="247" t="s">
        <v>681</v>
      </c>
      <c r="B49" s="333">
        <v>143</v>
      </c>
      <c r="C49" s="334">
        <v>6.2243166666666655E-2</v>
      </c>
      <c r="D49" s="334">
        <v>0.17292473435410657</v>
      </c>
      <c r="E49" s="334">
        <v>0.14482008583497807</v>
      </c>
      <c r="F49" s="334">
        <v>0.16910786006937048</v>
      </c>
      <c r="G49" s="335">
        <v>0.79484843371730862</v>
      </c>
      <c r="H49" s="335">
        <v>0.80378133908447424</v>
      </c>
      <c r="I49" s="334">
        <v>8.4752889390455902E-2</v>
      </c>
      <c r="J49" s="334">
        <v>0.30013018809980385</v>
      </c>
      <c r="K49" s="334">
        <v>5.7771999999999997E-2</v>
      </c>
      <c r="L49" s="334">
        <v>0.42901155283676035</v>
      </c>
      <c r="M49" s="334">
        <v>6.6889858313425421E-2</v>
      </c>
      <c r="N49" s="335">
        <v>1.0113995296394984</v>
      </c>
      <c r="O49" s="335">
        <v>1.3194612032749615</v>
      </c>
      <c r="P49" s="335">
        <v>7.32719050483297</v>
      </c>
      <c r="Q49" s="335">
        <v>7.5229629612235787</v>
      </c>
      <c r="R49" s="335">
        <v>1.308116926097618</v>
      </c>
      <c r="S49" s="335">
        <v>75.317304706998144</v>
      </c>
      <c r="T49" s="334">
        <v>-1.0180401739630893</v>
      </c>
      <c r="U49" s="334">
        <v>6.9539194617155584E-3</v>
      </c>
      <c r="V49" s="334">
        <v>5.7096684574625264E-3</v>
      </c>
      <c r="W49" s="334">
        <v>-0.45321547123046757</v>
      </c>
      <c r="X49" s="334">
        <v>0.14149911722450623</v>
      </c>
      <c r="Y49" s="334">
        <v>0.36553252718444079</v>
      </c>
      <c r="Z49" s="334">
        <v>0.36553252718444074</v>
      </c>
      <c r="AA49" s="336">
        <v>0.17303918371777791</v>
      </c>
    </row>
    <row r="50" spans="1:27" s="233" customFormat="1">
      <c r="A50" s="247" t="s">
        <v>682</v>
      </c>
      <c r="B50" s="333">
        <v>248</v>
      </c>
      <c r="C50" s="334">
        <v>0.12782212560386477</v>
      </c>
      <c r="D50" s="334">
        <v>0.15264312455099202</v>
      </c>
      <c r="E50" s="334">
        <v>0.18054615244201797</v>
      </c>
      <c r="F50" s="334">
        <v>0.20891717268757617</v>
      </c>
      <c r="G50" s="335">
        <v>0.41237142593120613</v>
      </c>
      <c r="H50" s="335">
        <v>0.43182654796312653</v>
      </c>
      <c r="I50" s="334">
        <v>6.3811834650324029E-2</v>
      </c>
      <c r="J50" s="334">
        <v>0.29536018268044723</v>
      </c>
      <c r="K50" s="334">
        <v>5.4405999999999996E-2</v>
      </c>
      <c r="L50" s="334">
        <v>0.14042645163264783</v>
      </c>
      <c r="M50" s="334">
        <v>6.0552728130202314E-2</v>
      </c>
      <c r="N50" s="335">
        <v>1.4650859942025898</v>
      </c>
      <c r="O50" s="335">
        <v>1.3174858318730795</v>
      </c>
      <c r="P50" s="335">
        <v>7.8152889235781213</v>
      </c>
      <c r="Q50" s="335">
        <v>8.5778218902518955</v>
      </c>
      <c r="R50" s="335">
        <v>1.6744185890349317</v>
      </c>
      <c r="S50" s="335">
        <v>20.508619436664006</v>
      </c>
      <c r="T50" s="334">
        <v>-0.25821112713536004</v>
      </c>
      <c r="U50" s="334">
        <v>5.7689237141792778E-3</v>
      </c>
      <c r="V50" s="334">
        <v>-4.1756796973487454E-3</v>
      </c>
      <c r="W50" s="334">
        <v>-9.4639355206339315E-2</v>
      </c>
      <c r="X50" s="334">
        <v>0.17152714492867691</v>
      </c>
      <c r="Y50" s="334">
        <v>0.26560947747892083</v>
      </c>
      <c r="Z50" s="334">
        <v>0.26560947747892083</v>
      </c>
      <c r="AA50" s="336">
        <v>0.15285165280792148</v>
      </c>
    </row>
    <row r="51" spans="1:27" s="233" customFormat="1">
      <c r="A51" s="247" t="s">
        <v>683</v>
      </c>
      <c r="B51" s="333">
        <v>1315</v>
      </c>
      <c r="C51" s="334">
        <v>0.1776110707456979</v>
      </c>
      <c r="D51" s="334">
        <v>0.25050390077716367</v>
      </c>
      <c r="E51" s="334">
        <v>8.2955665050530591E-2</v>
      </c>
      <c r="F51" s="334">
        <v>0.17551746875362065</v>
      </c>
      <c r="G51" s="335">
        <v>0.56571305410496153</v>
      </c>
      <c r="H51" s="335">
        <v>0.74834020464177042</v>
      </c>
      <c r="I51" s="334">
        <v>8.1631553521331668E-2</v>
      </c>
      <c r="J51" s="334">
        <v>0.368566767701624</v>
      </c>
      <c r="K51" s="334">
        <v>5.7771999999999997E-2</v>
      </c>
      <c r="L51" s="334">
        <v>0.37632089628568316</v>
      </c>
      <c r="M51" s="334">
        <v>6.7137061250118979E-2</v>
      </c>
      <c r="N51" s="335">
        <v>0.35945156627035674</v>
      </c>
      <c r="O51" s="335">
        <v>5.4454341078826802</v>
      </c>
      <c r="P51" s="335">
        <v>19.002308845120492</v>
      </c>
      <c r="Q51" s="335">
        <v>16.954572438751413</v>
      </c>
      <c r="R51" s="335">
        <v>1.7488432954951763</v>
      </c>
      <c r="S51" s="335">
        <v>53.852283367200769</v>
      </c>
      <c r="T51" s="334" t="s">
        <v>93</v>
      </c>
      <c r="U51" s="334">
        <v>4.657453655800841E-2</v>
      </c>
      <c r="V51" s="334">
        <v>0.16099299032551878</v>
      </c>
      <c r="W51" s="334">
        <v>0.97547166706000676</v>
      </c>
      <c r="X51" s="334">
        <v>0.1201379201054396</v>
      </c>
      <c r="Y51" s="334">
        <v>0.49503943167385944</v>
      </c>
      <c r="Z51" s="334">
        <v>0.49503943167385944</v>
      </c>
      <c r="AA51" s="336">
        <v>0.24950050254725029</v>
      </c>
    </row>
    <row r="52" spans="1:27" s="233" customFormat="1">
      <c r="A52" s="247" t="s">
        <v>684</v>
      </c>
      <c r="B52" s="333">
        <v>1553</v>
      </c>
      <c r="C52" s="334">
        <v>8.6788978040540504E-2</v>
      </c>
      <c r="D52" s="334">
        <v>0.10357060203933255</v>
      </c>
      <c r="E52" s="334">
        <v>0.11835120000818343</v>
      </c>
      <c r="F52" s="334">
        <v>0.22163070803455365</v>
      </c>
      <c r="G52" s="335">
        <v>1.3296217161025889</v>
      </c>
      <c r="H52" s="335">
        <v>1.3694737580048848</v>
      </c>
      <c r="I52" s="334">
        <v>0.11660137257567502</v>
      </c>
      <c r="J52" s="334">
        <v>0.40339936095861362</v>
      </c>
      <c r="K52" s="334">
        <v>5.7771999999999997E-2</v>
      </c>
      <c r="L52" s="334">
        <v>0.11937484553791054</v>
      </c>
      <c r="M52" s="334">
        <v>0.10782897728002483</v>
      </c>
      <c r="N52" s="335">
        <v>1.4800812808699546</v>
      </c>
      <c r="O52" s="335">
        <v>2.6137494417994116</v>
      </c>
      <c r="P52" s="335">
        <v>16.884089796488141</v>
      </c>
      <c r="Q52" s="335">
        <v>23.606058762209912</v>
      </c>
      <c r="R52" s="335">
        <v>3.372396135020447</v>
      </c>
      <c r="S52" s="335">
        <v>88.38334357634362</v>
      </c>
      <c r="T52" s="334">
        <v>0.29122462303494673</v>
      </c>
      <c r="U52" s="334">
        <v>4.0548849620912687E-2</v>
      </c>
      <c r="V52" s="334">
        <v>3.3716445957821688E-2</v>
      </c>
      <c r="W52" s="334">
        <v>0.54506657743017073</v>
      </c>
      <c r="X52" s="334">
        <v>0.10900842079326062</v>
      </c>
      <c r="Y52" s="334">
        <v>0.45978918363051763</v>
      </c>
      <c r="Z52" s="334">
        <v>0.45978918363051768</v>
      </c>
      <c r="AA52" s="336">
        <v>0.10661971175379394</v>
      </c>
    </row>
    <row r="53" spans="1:27" s="233" customFormat="1">
      <c r="A53" s="247" t="s">
        <v>685</v>
      </c>
      <c r="B53" s="333">
        <v>1874</v>
      </c>
      <c r="C53" s="334">
        <v>0.25604050200803208</v>
      </c>
      <c r="D53" s="334">
        <v>0.10725366601407861</v>
      </c>
      <c r="E53" s="334">
        <v>0.13657806342663706</v>
      </c>
      <c r="F53" s="334">
        <v>0.29838738084891459</v>
      </c>
      <c r="G53" s="335">
        <v>1.1256104046768172</v>
      </c>
      <c r="H53" s="335">
        <v>1.2362712416499424</v>
      </c>
      <c r="I53" s="334">
        <v>0.10910207090489177</v>
      </c>
      <c r="J53" s="334">
        <v>0.74739926318357797</v>
      </c>
      <c r="K53" s="334">
        <v>6.7294999999999994E-2</v>
      </c>
      <c r="L53" s="334">
        <v>0.18727151176244541</v>
      </c>
      <c r="M53" s="334">
        <v>9.8075559423538503E-2</v>
      </c>
      <c r="N53" s="335">
        <v>1.3473022786023205</v>
      </c>
      <c r="O53" s="335">
        <v>1.843836632024247</v>
      </c>
      <c r="P53" s="335">
        <v>10.69072789917057</v>
      </c>
      <c r="Q53" s="335">
        <v>15.978244984223554</v>
      </c>
      <c r="R53" s="335">
        <v>2.5662225822140057</v>
      </c>
      <c r="S53" s="335">
        <v>77.313819768184047</v>
      </c>
      <c r="T53" s="334">
        <v>0.1276850013196309</v>
      </c>
      <c r="U53" s="334">
        <v>8.0352820962738783E-2</v>
      </c>
      <c r="V53" s="334">
        <v>5.8111348654654935E-2</v>
      </c>
      <c r="W53" s="334">
        <v>0.92867065630351342</v>
      </c>
      <c r="X53" s="334">
        <v>9.1323863579960154E-2</v>
      </c>
      <c r="Y53" s="334">
        <v>0.68474798205135301</v>
      </c>
      <c r="Z53" s="334">
        <v>0.68474798205135301</v>
      </c>
      <c r="AA53" s="336">
        <v>0.108869549778273</v>
      </c>
    </row>
    <row r="54" spans="1:27" s="233" customFormat="1">
      <c r="A54" s="247" t="s">
        <v>686</v>
      </c>
      <c r="B54" s="333">
        <v>139</v>
      </c>
      <c r="C54" s="334">
        <v>4.6683917525773201E-2</v>
      </c>
      <c r="D54" s="334">
        <v>7.728502336481427E-2</v>
      </c>
      <c r="E54" s="334">
        <v>0.12615897165864376</v>
      </c>
      <c r="F54" s="334">
        <v>0.25463181913557814</v>
      </c>
      <c r="G54" s="335">
        <v>0.71130139350537458</v>
      </c>
      <c r="H54" s="335">
        <v>0.75869634029438304</v>
      </c>
      <c r="I54" s="334">
        <v>8.2214603958573773E-2</v>
      </c>
      <c r="J54" s="334">
        <v>0.36872237756729248</v>
      </c>
      <c r="K54" s="334">
        <v>5.7771999999999997E-2</v>
      </c>
      <c r="L54" s="334">
        <v>0.22220736023727131</v>
      </c>
      <c r="M54" s="334">
        <v>7.3526438306329281E-2</v>
      </c>
      <c r="N54" s="335">
        <v>2.0880814170229338</v>
      </c>
      <c r="O54" s="335">
        <v>1.0768467034939373</v>
      </c>
      <c r="P54" s="335">
        <v>9.1443038159520995</v>
      </c>
      <c r="Q54" s="335">
        <v>13.485343836416577</v>
      </c>
      <c r="R54" s="335">
        <v>1.7950846560021174</v>
      </c>
      <c r="S54" s="335">
        <v>24.584696011605487</v>
      </c>
      <c r="T54" s="334">
        <v>0.15005817255787923</v>
      </c>
      <c r="U54" s="334">
        <v>3.2486451947451034E-2</v>
      </c>
      <c r="V54" s="334">
        <v>2.5494473584194093E-2</v>
      </c>
      <c r="W54" s="334">
        <v>0.5985490652851968</v>
      </c>
      <c r="X54" s="334">
        <v>8.7389215216705993E-2</v>
      </c>
      <c r="Y54" s="334">
        <v>0.65491357770172831</v>
      </c>
      <c r="Z54" s="334">
        <v>0.65491357770172831</v>
      </c>
      <c r="AA54" s="336">
        <v>7.8439955123608379E-2</v>
      </c>
    </row>
    <row r="55" spans="1:27" s="233" customFormat="1">
      <c r="A55" s="247" t="s">
        <v>687</v>
      </c>
      <c r="B55" s="333">
        <v>34</v>
      </c>
      <c r="C55" s="334">
        <v>0.10255882352941176</v>
      </c>
      <c r="D55" s="334">
        <v>0.14271950245747214</v>
      </c>
      <c r="E55" s="334">
        <v>0.1387668708403002</v>
      </c>
      <c r="F55" s="334">
        <v>0.44047646902534587</v>
      </c>
      <c r="G55" s="335">
        <v>0.63246761885771441</v>
      </c>
      <c r="H55" s="335">
        <v>0.68873305800626605</v>
      </c>
      <c r="I55" s="334">
        <v>7.8275671165752778E-2</v>
      </c>
      <c r="J55" s="334">
        <v>0.29124733654966167</v>
      </c>
      <c r="K55" s="334">
        <v>5.4405999999999996E-2</v>
      </c>
      <c r="L55" s="334">
        <v>0.17764359399538568</v>
      </c>
      <c r="M55" s="334">
        <v>7.1583397602365012E-2</v>
      </c>
      <c r="N55" s="335">
        <v>1.368595975044083</v>
      </c>
      <c r="O55" s="335">
        <v>1.3261820608682251</v>
      </c>
      <c r="P55" s="335">
        <v>6.1816708567061935</v>
      </c>
      <c r="Q55" s="335">
        <v>9.2501823664225178</v>
      </c>
      <c r="R55" s="335">
        <v>1.7150981519077635</v>
      </c>
      <c r="S55" s="335">
        <v>15.630273590515602</v>
      </c>
      <c r="T55" s="334">
        <v>2.5364589473714852E-2</v>
      </c>
      <c r="U55" s="334">
        <v>9.0393484015895767E-2</v>
      </c>
      <c r="V55" s="334">
        <v>1.7564474646550188E-2</v>
      </c>
      <c r="W55" s="334">
        <v>0.2493961690204361</v>
      </c>
      <c r="X55" s="334">
        <v>0.12207065752880029</v>
      </c>
      <c r="Y55" s="334">
        <v>0.79868862990167377</v>
      </c>
      <c r="Z55" s="334">
        <v>0.79868862990167377</v>
      </c>
      <c r="AA55" s="336">
        <v>0.14343878765167228</v>
      </c>
    </row>
    <row r="56" spans="1:27" s="233" customFormat="1">
      <c r="A56" s="247" t="s">
        <v>688</v>
      </c>
      <c r="B56" s="333">
        <v>539</v>
      </c>
      <c r="C56" s="334">
        <v>0.22485934426229515</v>
      </c>
      <c r="D56" s="334">
        <v>0.28507903246431077</v>
      </c>
      <c r="E56" s="334">
        <v>0.14869475920730077</v>
      </c>
      <c r="F56" s="334">
        <v>0.35056253018303679</v>
      </c>
      <c r="G56" s="335">
        <v>0.74638545916016252</v>
      </c>
      <c r="H56" s="335">
        <v>0.88555546755847114</v>
      </c>
      <c r="I56" s="334">
        <v>8.935677282354193E-2</v>
      </c>
      <c r="J56" s="334">
        <v>0.53918089053215745</v>
      </c>
      <c r="K56" s="334">
        <v>6.0012999999999997E-2</v>
      </c>
      <c r="L56" s="334">
        <v>0.26371020902828413</v>
      </c>
      <c r="M56" s="334">
        <v>7.7603453814098264E-2</v>
      </c>
      <c r="N56" s="335">
        <v>0.57279995877477607</v>
      </c>
      <c r="O56" s="335">
        <v>2.5887742105806848</v>
      </c>
      <c r="P56" s="335">
        <v>4.8365685617860521</v>
      </c>
      <c r="Q56" s="335">
        <v>8.9258906875453228</v>
      </c>
      <c r="R56" s="335">
        <v>1.3314467444109244</v>
      </c>
      <c r="S56" s="335">
        <v>28.760500906519145</v>
      </c>
      <c r="T56" s="334">
        <v>1.1403498606108141E-2</v>
      </c>
      <c r="U56" s="334">
        <v>0.33688213414137436</v>
      </c>
      <c r="V56" s="334">
        <v>0.18527235529710939</v>
      </c>
      <c r="W56" s="334">
        <v>0.92668522804010711</v>
      </c>
      <c r="X56" s="334">
        <v>0.11803732977667621</v>
      </c>
      <c r="Y56" s="334">
        <v>0.54791966860852614</v>
      </c>
      <c r="Z56" s="334">
        <v>0.54791966860852614</v>
      </c>
      <c r="AA56" s="336">
        <v>0.28666969360224226</v>
      </c>
    </row>
    <row r="57" spans="1:27" s="233" customFormat="1">
      <c r="A57" s="247" t="s">
        <v>689</v>
      </c>
      <c r="B57" s="333">
        <v>186</v>
      </c>
      <c r="C57" s="334">
        <v>9.5912556390977441E-2</v>
      </c>
      <c r="D57" s="334">
        <v>0.17241837691415091</v>
      </c>
      <c r="E57" s="334">
        <v>9.1910736749790251E-2</v>
      </c>
      <c r="F57" s="334">
        <v>0.18682801012319913</v>
      </c>
      <c r="G57" s="335">
        <v>0.46115425271444288</v>
      </c>
      <c r="H57" s="335">
        <v>0.65347788879632085</v>
      </c>
      <c r="I57" s="334">
        <v>7.6290805139232865E-2</v>
      </c>
      <c r="J57" s="334">
        <v>0.33957384631129722</v>
      </c>
      <c r="K57" s="334">
        <v>5.7771999999999997E-2</v>
      </c>
      <c r="L57" s="334">
        <v>0.38095835053414323</v>
      </c>
      <c r="M57" s="334">
        <v>6.3652297937202756E-2</v>
      </c>
      <c r="N57" s="335">
        <v>0.60444367955490141</v>
      </c>
      <c r="O57" s="335">
        <v>3.0539573938566664</v>
      </c>
      <c r="P57" s="335">
        <v>11.782530005913099</v>
      </c>
      <c r="Q57" s="335">
        <v>17.430603995176689</v>
      </c>
      <c r="R57" s="335">
        <v>2.0987568998801729</v>
      </c>
      <c r="S57" s="335">
        <v>27.829396372205068</v>
      </c>
      <c r="T57" s="334">
        <v>2.6151137146679035E-2</v>
      </c>
      <c r="U57" s="334">
        <v>0.14977794891776844</v>
      </c>
      <c r="V57" s="334">
        <v>0.10783598301822635</v>
      </c>
      <c r="W57" s="334">
        <v>0.79162661883206109</v>
      </c>
      <c r="X57" s="334">
        <v>0.1304519999296142</v>
      </c>
      <c r="Y57" s="334">
        <v>0.81793016681096242</v>
      </c>
      <c r="Z57" s="334">
        <v>0.81793016681096242</v>
      </c>
      <c r="AA57" s="336">
        <v>0.17337523242333899</v>
      </c>
    </row>
    <row r="58" spans="1:27" s="233" customFormat="1">
      <c r="A58" s="247" t="s">
        <v>690</v>
      </c>
      <c r="B58" s="333">
        <v>431</v>
      </c>
      <c r="C58" s="334">
        <v>0.11601196923076922</v>
      </c>
      <c r="D58" s="334">
        <v>5.007511671050164E-2</v>
      </c>
      <c r="E58" s="334">
        <v>9.0593009610380776E-2</v>
      </c>
      <c r="F58" s="334">
        <v>0.23026197840476501</v>
      </c>
      <c r="G58" s="335">
        <v>0.79965086943621677</v>
      </c>
      <c r="H58" s="335">
        <v>0.94823600069298752</v>
      </c>
      <c r="I58" s="334">
        <v>9.28856868390152E-2</v>
      </c>
      <c r="J58" s="334">
        <v>0.42213803953767687</v>
      </c>
      <c r="K58" s="334">
        <v>5.7771999999999997E-2</v>
      </c>
      <c r="L58" s="334">
        <v>0.28399112717545283</v>
      </c>
      <c r="M58" s="334">
        <v>7.8751322563545376E-2</v>
      </c>
      <c r="N58" s="335">
        <v>2.0987905729596927</v>
      </c>
      <c r="O58" s="335">
        <v>0.75986786168136822</v>
      </c>
      <c r="P58" s="335">
        <v>8.8303367898348597</v>
      </c>
      <c r="Q58" s="335">
        <v>14.493304714400686</v>
      </c>
      <c r="R58" s="335">
        <v>1.542832887564483</v>
      </c>
      <c r="S58" s="335">
        <v>41.452063158085586</v>
      </c>
      <c r="T58" s="334">
        <v>5.4751487026760352E-2</v>
      </c>
      <c r="U58" s="334">
        <v>4.2127441674789108E-2</v>
      </c>
      <c r="V58" s="334">
        <v>2.1610462651634573E-2</v>
      </c>
      <c r="W58" s="334">
        <v>0.28896627798202468</v>
      </c>
      <c r="X58" s="334">
        <v>8.2642239548227012E-2</v>
      </c>
      <c r="Y58" s="334">
        <v>0.55553865733300245</v>
      </c>
      <c r="Z58" s="334">
        <v>0.55553865733300245</v>
      </c>
      <c r="AA58" s="336">
        <v>5.0896822510141694E-2</v>
      </c>
    </row>
    <row r="59" spans="1:27" s="233" customFormat="1">
      <c r="A59" s="247" t="s">
        <v>691</v>
      </c>
      <c r="B59" s="333">
        <v>438</v>
      </c>
      <c r="C59" s="334">
        <v>7.8556686746987986E-2</v>
      </c>
      <c r="D59" s="334">
        <v>7.8360144531451542E-2</v>
      </c>
      <c r="E59" s="334">
        <v>9.2832569800808493E-2</v>
      </c>
      <c r="F59" s="334">
        <v>0.23255421111732327</v>
      </c>
      <c r="G59" s="335">
        <v>0.57555244396414651</v>
      </c>
      <c r="H59" s="335">
        <v>0.75913513257041632</v>
      </c>
      <c r="I59" s="334">
        <v>8.2239307963714439E-2</v>
      </c>
      <c r="J59" s="334">
        <v>0.3441170723962298</v>
      </c>
      <c r="K59" s="334">
        <v>5.7771999999999997E-2</v>
      </c>
      <c r="L59" s="334">
        <v>0.34489330335176677</v>
      </c>
      <c r="M59" s="334">
        <v>6.8745680164765829E-2</v>
      </c>
      <c r="N59" s="335">
        <v>1.425153303986407</v>
      </c>
      <c r="O59" s="335">
        <v>1.3795754214035487</v>
      </c>
      <c r="P59" s="335">
        <v>9.5623667398963796</v>
      </c>
      <c r="Q59" s="335">
        <v>17.041243538279751</v>
      </c>
      <c r="R59" s="335">
        <v>1.6186188109978783</v>
      </c>
      <c r="S59" s="335">
        <v>38.912057731343708</v>
      </c>
      <c r="T59" s="334">
        <v>0.15662243803686943</v>
      </c>
      <c r="U59" s="334">
        <v>6.0653473984034714E-2</v>
      </c>
      <c r="V59" s="334">
        <v>3.9613626875541062E-2</v>
      </c>
      <c r="W59" s="334">
        <v>0.84282628944733418</v>
      </c>
      <c r="X59" s="334">
        <v>8.5799384852208699E-2</v>
      </c>
      <c r="Y59" s="334">
        <v>0.66060121339636713</v>
      </c>
      <c r="Z59" s="334">
        <v>0.66060121339636713</v>
      </c>
      <c r="AA59" s="336">
        <v>8.0003259148467967E-2</v>
      </c>
    </row>
    <row r="60" spans="1:27" s="233" customFormat="1">
      <c r="A60" s="247" t="s">
        <v>692</v>
      </c>
      <c r="B60" s="333">
        <v>271</v>
      </c>
      <c r="C60" s="334">
        <v>6.9212857142857132E-2</v>
      </c>
      <c r="D60" s="334">
        <v>4.2965671905443474E-2</v>
      </c>
      <c r="E60" s="334">
        <v>2.912813212669578E-2</v>
      </c>
      <c r="F60" s="334">
        <v>0.22255766130489102</v>
      </c>
      <c r="G60" s="335">
        <v>0.61065401103727024</v>
      </c>
      <c r="H60" s="335">
        <v>0.8886903362780022</v>
      </c>
      <c r="I60" s="334">
        <v>8.9533265932451533E-2</v>
      </c>
      <c r="J60" s="334">
        <v>0.36751021537842715</v>
      </c>
      <c r="K60" s="334">
        <v>5.7771999999999997E-2</v>
      </c>
      <c r="L60" s="334">
        <v>0.43845709457033261</v>
      </c>
      <c r="M60" s="334">
        <v>6.9180954724864019E-2</v>
      </c>
      <c r="N60" s="335">
        <v>0.79364887363032466</v>
      </c>
      <c r="O60" s="335">
        <v>1.3043312577076893</v>
      </c>
      <c r="P60" s="335">
        <v>10.479050222353669</v>
      </c>
      <c r="Q60" s="335">
        <v>28.662670224152858</v>
      </c>
      <c r="R60" s="335">
        <v>0.93524748799687596</v>
      </c>
      <c r="S60" s="335">
        <v>149.24502694790377</v>
      </c>
      <c r="T60" s="334">
        <v>0.1755412575561123</v>
      </c>
      <c r="U60" s="334">
        <v>9.3647047653606263E-2</v>
      </c>
      <c r="V60" s="334">
        <v>4.3899060978280488E-2</v>
      </c>
      <c r="W60" s="334">
        <v>1.3729869947763789</v>
      </c>
      <c r="X60" s="334">
        <v>1.764148774776679E-2</v>
      </c>
      <c r="Y60" s="334">
        <v>2.0595295432241483</v>
      </c>
      <c r="Z60" s="334">
        <v>2.0595295432241483</v>
      </c>
      <c r="AA60" s="336">
        <v>4.2633888432073636E-2</v>
      </c>
    </row>
    <row r="61" spans="1:27" s="233" customFormat="1">
      <c r="A61" s="247" t="s">
        <v>693</v>
      </c>
      <c r="B61" s="333">
        <v>486</v>
      </c>
      <c r="C61" s="334">
        <v>0.10156057279236279</v>
      </c>
      <c r="D61" s="334">
        <v>0.15163535940548345</v>
      </c>
      <c r="E61" s="334">
        <v>7.0176506260250043E-2</v>
      </c>
      <c r="F61" s="334">
        <v>0.20324628600859226</v>
      </c>
      <c r="G61" s="335">
        <v>0.45529282820391004</v>
      </c>
      <c r="H61" s="335">
        <v>0.71309583438521496</v>
      </c>
      <c r="I61" s="334">
        <v>7.9647295475887614E-2</v>
      </c>
      <c r="J61" s="334">
        <v>0.30609405970972298</v>
      </c>
      <c r="K61" s="334">
        <v>5.7771999999999997E-2</v>
      </c>
      <c r="L61" s="334">
        <v>0.46197729661889697</v>
      </c>
      <c r="M61" s="334">
        <v>6.2770316910323753E-2</v>
      </c>
      <c r="N61" s="335">
        <v>0.56560993900650303</v>
      </c>
      <c r="O61" s="335">
        <v>2.5519559062360764</v>
      </c>
      <c r="P61" s="335">
        <v>10.100173928212719</v>
      </c>
      <c r="Q61" s="335">
        <v>16.790847630501311</v>
      </c>
      <c r="R61" s="335">
        <v>1.4609277699680119</v>
      </c>
      <c r="S61" s="335">
        <v>62.564807538097611</v>
      </c>
      <c r="T61" s="334">
        <v>2.7031044696666992E-2</v>
      </c>
      <c r="U61" s="334">
        <v>0.21456447533459777</v>
      </c>
      <c r="V61" s="334">
        <v>0.13400709330762695</v>
      </c>
      <c r="W61" s="334">
        <v>1.126089659478797</v>
      </c>
      <c r="X61" s="334">
        <v>0.10274405443798396</v>
      </c>
      <c r="Y61" s="334">
        <v>0.62002726518191442</v>
      </c>
      <c r="Z61" s="334">
        <v>0.62002726518191442</v>
      </c>
      <c r="AA61" s="336">
        <v>0.15159697968627556</v>
      </c>
    </row>
    <row r="62" spans="1:27" s="233" customFormat="1">
      <c r="A62" s="247" t="s">
        <v>694</v>
      </c>
      <c r="B62" s="333">
        <v>777</v>
      </c>
      <c r="C62" s="334">
        <v>0.37462456989247334</v>
      </c>
      <c r="D62" s="334">
        <v>0.24943597930739961</v>
      </c>
      <c r="E62" s="334">
        <v>0.21530138733737769</v>
      </c>
      <c r="F62" s="334">
        <v>0.28078920997935874</v>
      </c>
      <c r="G62" s="335">
        <v>1.3739381911113473</v>
      </c>
      <c r="H62" s="335">
        <v>1.3975027216705875</v>
      </c>
      <c r="I62" s="334">
        <v>0.11817940323005408</v>
      </c>
      <c r="J62" s="334">
        <v>0.79893710560481934</v>
      </c>
      <c r="K62" s="334">
        <v>6.7294999999999994E-2</v>
      </c>
      <c r="L62" s="334">
        <v>8.3037578862092593E-2</v>
      </c>
      <c r="M62" s="334">
        <v>0.11253640646528956</v>
      </c>
      <c r="N62" s="335">
        <v>0.91764343588588204</v>
      </c>
      <c r="O62" s="335">
        <v>4.7533815265692576</v>
      </c>
      <c r="P62" s="335">
        <v>12.736512669240044</v>
      </c>
      <c r="Q62" s="335">
        <v>17.837739228253213</v>
      </c>
      <c r="R62" s="335">
        <v>3.8046572803047476</v>
      </c>
      <c r="S62" s="335">
        <v>116.98436360342707</v>
      </c>
      <c r="T62" s="334">
        <v>8.0279240663237175E-2</v>
      </c>
      <c r="U62" s="334">
        <v>0.16035755252625084</v>
      </c>
      <c r="V62" s="334">
        <v>0.11788558476289505</v>
      </c>
      <c r="W62" s="334">
        <v>0.71585186785009502</v>
      </c>
      <c r="X62" s="334">
        <v>0.16901958418142421</v>
      </c>
      <c r="Y62" s="334">
        <v>0.29564178751718834</v>
      </c>
      <c r="Z62" s="334">
        <v>0.29564178751718839</v>
      </c>
      <c r="AA62" s="336">
        <v>0.24974338129580254</v>
      </c>
    </row>
    <row r="63" spans="1:27" s="233" customFormat="1">
      <c r="A63" s="247" t="s">
        <v>695</v>
      </c>
      <c r="B63" s="333">
        <v>307</v>
      </c>
      <c r="C63" s="334">
        <v>3.0572470588235295E-2</v>
      </c>
      <c r="D63" s="334">
        <v>7.3815903851705555E-2</v>
      </c>
      <c r="E63" s="334">
        <v>9.3221906144559927E-2</v>
      </c>
      <c r="F63" s="334">
        <v>0.26540695656935404</v>
      </c>
      <c r="G63" s="335">
        <v>0.77878896302682721</v>
      </c>
      <c r="H63" s="335">
        <v>0.81662806293641388</v>
      </c>
      <c r="I63" s="334">
        <v>8.5476159943320112E-2</v>
      </c>
      <c r="J63" s="334">
        <v>0.36176808057819138</v>
      </c>
      <c r="K63" s="334">
        <v>5.7771999999999997E-2</v>
      </c>
      <c r="L63" s="334">
        <v>0.21868229639918471</v>
      </c>
      <c r="M63" s="334">
        <v>7.6212577479789115E-2</v>
      </c>
      <c r="N63" s="335">
        <v>1.5592006316404636</v>
      </c>
      <c r="O63" s="335">
        <v>1.2980663886957393</v>
      </c>
      <c r="P63" s="335">
        <v>10.231798109248684</v>
      </c>
      <c r="Q63" s="335">
        <v>16.492230504795497</v>
      </c>
      <c r="R63" s="335">
        <v>1.5238708199135993</v>
      </c>
      <c r="S63" s="335">
        <v>71.364921224527677</v>
      </c>
      <c r="T63" s="334">
        <v>7.2361188690830858E-2</v>
      </c>
      <c r="U63" s="334">
        <v>3.4508683694392826E-2</v>
      </c>
      <c r="V63" s="334">
        <v>1.8952713426353331E-2</v>
      </c>
      <c r="W63" s="334">
        <v>0.59410598642852253</v>
      </c>
      <c r="X63" s="334">
        <v>7.0289363795654813E-2</v>
      </c>
      <c r="Y63" s="334">
        <v>0.48492949088834603</v>
      </c>
      <c r="Z63" s="334">
        <v>0.48492949088834603</v>
      </c>
      <c r="AA63" s="336">
        <v>7.4285400023389958E-2</v>
      </c>
    </row>
    <row r="64" spans="1:27" s="233" customFormat="1">
      <c r="A64" s="247" t="s">
        <v>696</v>
      </c>
      <c r="B64" s="333">
        <v>643</v>
      </c>
      <c r="C64" s="334">
        <v>0.11494384458077717</v>
      </c>
      <c r="D64" s="334">
        <v>0.31916382606822452</v>
      </c>
      <c r="E64" s="334">
        <v>3.662333496456642E-2</v>
      </c>
      <c r="F64" s="334">
        <v>5.1004101689956664E-2</v>
      </c>
      <c r="G64" s="335">
        <v>0.3617107801017127</v>
      </c>
      <c r="H64" s="335">
        <v>0.5649158041768807</v>
      </c>
      <c r="I64" s="334">
        <v>7.1304759775158377E-2</v>
      </c>
      <c r="J64" s="334">
        <v>0.22812244010542768</v>
      </c>
      <c r="K64" s="334">
        <v>5.4405999999999996E-2</v>
      </c>
      <c r="L64" s="334">
        <v>0.44467414667175709</v>
      </c>
      <c r="M64" s="334">
        <v>5.7652568902364761E-2</v>
      </c>
      <c r="N64" s="335">
        <v>0.12707889995427202</v>
      </c>
      <c r="O64" s="335">
        <v>10.834231956782414</v>
      </c>
      <c r="P64" s="335">
        <v>19.695828759466512</v>
      </c>
      <c r="Q64" s="335">
        <v>31.751049384797813</v>
      </c>
      <c r="R64" s="335">
        <v>1.4905263700545119</v>
      </c>
      <c r="S64" s="335">
        <v>27.846941015012394</v>
      </c>
      <c r="T64" s="334">
        <v>1.1211222501593157</v>
      </c>
      <c r="U64" s="334">
        <v>4.479808563980852E-2</v>
      </c>
      <c r="V64" s="334">
        <v>-5.5882845835199368E-2</v>
      </c>
      <c r="W64" s="334">
        <v>-0.17366372464957841</v>
      </c>
      <c r="X64" s="334">
        <v>5.3208944042787878E-2</v>
      </c>
      <c r="Y64" s="334">
        <v>1.402724258789219</v>
      </c>
      <c r="Z64" s="334">
        <v>1.402724258789219</v>
      </c>
      <c r="AA64" s="336">
        <v>0.3001236105920998</v>
      </c>
    </row>
    <row r="65" spans="1:27" s="233" customFormat="1">
      <c r="A65" s="247" t="s">
        <v>697</v>
      </c>
      <c r="B65" s="333">
        <v>895</v>
      </c>
      <c r="C65" s="334">
        <v>0.10927880785413732</v>
      </c>
      <c r="D65" s="334">
        <v>3.4640434048005986E-2</v>
      </c>
      <c r="E65" s="334">
        <v>1.2077386763519887E-2</v>
      </c>
      <c r="F65" s="334">
        <v>0.29534346050908533</v>
      </c>
      <c r="G65" s="335">
        <v>0.44594300944783322</v>
      </c>
      <c r="H65" s="335">
        <v>0.92559635092127723</v>
      </c>
      <c r="I65" s="334">
        <v>9.1611074556867914E-2</v>
      </c>
      <c r="J65" s="334">
        <v>0.43163752988334719</v>
      </c>
      <c r="K65" s="334">
        <v>5.7771999999999997E-2</v>
      </c>
      <c r="L65" s="334">
        <v>0.65657493132052214</v>
      </c>
      <c r="M65" s="334">
        <v>5.976992767703071E-2</v>
      </c>
      <c r="N65" s="335">
        <v>0.41147767139278052</v>
      </c>
      <c r="O65" s="335">
        <v>2.0824973941586102</v>
      </c>
      <c r="P65" s="335">
        <v>14.081809927678158</v>
      </c>
      <c r="Q65" s="335">
        <v>40.190930919485602</v>
      </c>
      <c r="R65" s="335">
        <v>0.55823360981663794</v>
      </c>
      <c r="S65" s="335">
        <v>49.302438688236002</v>
      </c>
      <c r="T65" s="334">
        <v>1.7091295501536428</v>
      </c>
      <c r="U65" s="334">
        <v>1.176904058012445E-2</v>
      </c>
      <c r="V65" s="334">
        <v>5.3870857610744944E-4</v>
      </c>
      <c r="W65" s="334">
        <v>-10.822207474725225</v>
      </c>
      <c r="X65" s="334">
        <v>-5.9249287091767321E-2</v>
      </c>
      <c r="Y65" s="334">
        <v>4.1713507245062049E-3</v>
      </c>
      <c r="Z65" s="334">
        <v>4.1713507245062509E-3</v>
      </c>
      <c r="AA65" s="336">
        <v>3.4394905718057055E-2</v>
      </c>
    </row>
    <row r="66" spans="1:27" s="233" customFormat="1">
      <c r="A66" s="247" t="s">
        <v>698</v>
      </c>
      <c r="B66" s="333">
        <v>312</v>
      </c>
      <c r="C66" s="334">
        <v>0.11694891050583667</v>
      </c>
      <c r="D66" s="334">
        <v>0.14919044564320283</v>
      </c>
      <c r="E66" s="334">
        <v>3.5902915745040252E-2</v>
      </c>
      <c r="F66" s="334">
        <v>0.24429216072302229</v>
      </c>
      <c r="G66" s="335">
        <v>0.59764155779294637</v>
      </c>
      <c r="H66" s="335">
        <v>0.92785109678239408</v>
      </c>
      <c r="I66" s="334">
        <v>9.1738016748848794E-2</v>
      </c>
      <c r="J66" s="334">
        <v>0.33514514204309948</v>
      </c>
      <c r="K66" s="334">
        <v>5.7771999999999997E-2</v>
      </c>
      <c r="L66" s="334">
        <v>0.46966231009457088</v>
      </c>
      <c r="M66" s="334">
        <v>6.8901732788556186E-2</v>
      </c>
      <c r="N66" s="335">
        <v>0.26929771346724918</v>
      </c>
      <c r="O66" s="335">
        <v>3.785734191005333</v>
      </c>
      <c r="P66" s="335">
        <v>15.016439100015704</v>
      </c>
      <c r="Q66" s="335">
        <v>22.456563378408056</v>
      </c>
      <c r="R66" s="335">
        <v>0.92655850294691422</v>
      </c>
      <c r="S66" s="335">
        <v>35.032230537891039</v>
      </c>
      <c r="T66" s="334">
        <v>1.16940909728276</v>
      </c>
      <c r="U66" s="334">
        <v>9.1046384678958536E-2</v>
      </c>
      <c r="V66" s="334">
        <v>7.0624908128349401E-2</v>
      </c>
      <c r="W66" s="334">
        <v>0.65753864240174598</v>
      </c>
      <c r="X66" s="334">
        <v>3.4447641360007497E-2</v>
      </c>
      <c r="Y66" s="334">
        <v>0.6377464769662482</v>
      </c>
      <c r="Z66" s="334">
        <v>0.6377464769662482</v>
      </c>
      <c r="AA66" s="336">
        <v>0.15605853335528269</v>
      </c>
    </row>
    <row r="67" spans="1:27" s="233" customFormat="1">
      <c r="A67" s="247" t="s">
        <v>699</v>
      </c>
      <c r="B67" s="333">
        <v>752</v>
      </c>
      <c r="C67" s="334">
        <v>0.10695155080213904</v>
      </c>
      <c r="D67" s="334">
        <v>0.1739870542804467</v>
      </c>
      <c r="E67" s="334">
        <v>4.1946102090034937E-2</v>
      </c>
      <c r="F67" s="334">
        <v>0.18844592797918353</v>
      </c>
      <c r="G67" s="335">
        <v>0.51412438207002753</v>
      </c>
      <c r="H67" s="335">
        <v>0.78176159786615251</v>
      </c>
      <c r="I67" s="334">
        <v>8.351317795986439E-2</v>
      </c>
      <c r="J67" s="334">
        <v>0.36270617463212179</v>
      </c>
      <c r="K67" s="334">
        <v>5.7771999999999997E-2</v>
      </c>
      <c r="L67" s="334">
        <v>0.4520618604805629</v>
      </c>
      <c r="M67" s="334">
        <v>6.5250812593572433E-2</v>
      </c>
      <c r="N67" s="335">
        <v>0.27725111261548063</v>
      </c>
      <c r="O67" s="335">
        <v>4.1492716203925744</v>
      </c>
      <c r="P67" s="335">
        <v>18.464484335420039</v>
      </c>
      <c r="Q67" s="335">
        <v>22.198187805969134</v>
      </c>
      <c r="R67" s="335">
        <v>0.99483456148921157</v>
      </c>
      <c r="S67" s="335">
        <v>65.409121094722053</v>
      </c>
      <c r="T67" s="334">
        <v>0.1846724797349471</v>
      </c>
      <c r="U67" s="334">
        <v>2.0854115735940516E-2</v>
      </c>
      <c r="V67" s="334">
        <v>2.2549931520130528E-2</v>
      </c>
      <c r="W67" s="334">
        <v>0.25892106215383281</v>
      </c>
      <c r="X67" s="334">
        <v>5.0166158229258906E-2</v>
      </c>
      <c r="Y67" s="334">
        <v>0.47241125968232539</v>
      </c>
      <c r="Z67" s="334">
        <v>0.47241125968232534</v>
      </c>
      <c r="AA67" s="336">
        <v>0.17730642613549494</v>
      </c>
    </row>
    <row r="68" spans="1:27" s="233" customFormat="1">
      <c r="A68" s="247" t="s">
        <v>700</v>
      </c>
      <c r="B68" s="333">
        <v>332</v>
      </c>
      <c r="C68" s="334">
        <v>8.771458498023714E-2</v>
      </c>
      <c r="D68" s="334">
        <v>0.10516876898050176</v>
      </c>
      <c r="E68" s="334">
        <v>9.5302906582474409E-2</v>
      </c>
      <c r="F68" s="334">
        <v>0.26192418019384101</v>
      </c>
      <c r="G68" s="335">
        <v>0.88997056561654864</v>
      </c>
      <c r="H68" s="335">
        <v>1.0063798615892963</v>
      </c>
      <c r="I68" s="334">
        <v>9.6159186207477376E-2</v>
      </c>
      <c r="J68" s="334">
        <v>0.3887640144142781</v>
      </c>
      <c r="K68" s="334">
        <v>5.7771999999999997E-2</v>
      </c>
      <c r="L68" s="334">
        <v>0.25019304053805952</v>
      </c>
      <c r="M68" s="334">
        <v>8.2887960924386286E-2</v>
      </c>
      <c r="N68" s="335">
        <v>1.2055644629677227</v>
      </c>
      <c r="O68" s="335">
        <v>2.0375794169216057</v>
      </c>
      <c r="P68" s="335">
        <v>11.441176119853257</v>
      </c>
      <c r="Q68" s="335">
        <v>19.905470428537026</v>
      </c>
      <c r="R68" s="335">
        <v>2.6407010762200929</v>
      </c>
      <c r="S68" s="335">
        <v>518.47650501095643</v>
      </c>
      <c r="T68" s="334">
        <v>0.13862344793418113</v>
      </c>
      <c r="U68" s="334">
        <v>5.9713371754917741E-2</v>
      </c>
      <c r="V68" s="334">
        <v>2.1104056259396087E-2</v>
      </c>
      <c r="W68" s="334">
        <v>0.25060632982863423</v>
      </c>
      <c r="X68" s="334">
        <v>3.8863687147947946E-2</v>
      </c>
      <c r="Y68" s="334">
        <v>1.2670250420874853</v>
      </c>
      <c r="Z68" s="334">
        <v>1.2670250420874853</v>
      </c>
      <c r="AA68" s="336">
        <v>0.10144204513587569</v>
      </c>
    </row>
    <row r="69" spans="1:27" s="233" customFormat="1">
      <c r="A69" s="247" t="s">
        <v>701</v>
      </c>
      <c r="B69" s="333">
        <v>32</v>
      </c>
      <c r="C69" s="334">
        <v>8.2747857142857151E-2</v>
      </c>
      <c r="D69" s="334">
        <v>0.13321209671350359</v>
      </c>
      <c r="E69" s="334">
        <v>0.17454384807953413</v>
      </c>
      <c r="F69" s="334">
        <v>0.22960291524446916</v>
      </c>
      <c r="G69" s="335">
        <v>0.95266774469164206</v>
      </c>
      <c r="H69" s="335">
        <v>0.98946560189037758</v>
      </c>
      <c r="I69" s="334">
        <v>9.5206913386428255E-2</v>
      </c>
      <c r="J69" s="334">
        <v>0.30571501403257012</v>
      </c>
      <c r="K69" s="334">
        <v>5.7771999999999997E-2</v>
      </c>
      <c r="L69" s="334">
        <v>0.16860362927227968</v>
      </c>
      <c r="M69" s="334">
        <v>8.6424068805583287E-2</v>
      </c>
      <c r="N69" s="335">
        <v>1.5930901689070289</v>
      </c>
      <c r="O69" s="335">
        <v>1.0504612103592934</v>
      </c>
      <c r="P69" s="335">
        <v>7.9182580691053399</v>
      </c>
      <c r="Q69" s="335">
        <v>5.3155684766650344</v>
      </c>
      <c r="R69" s="335">
        <v>1.4305703675967394</v>
      </c>
      <c r="S69" s="335">
        <v>10.897999636415635</v>
      </c>
      <c r="T69" s="334">
        <v>-0.646991351690546</v>
      </c>
      <c r="U69" s="334">
        <v>5.4662522529831431E-4</v>
      </c>
      <c r="V69" s="334">
        <v>4.4715241970813717E-2</v>
      </c>
      <c r="W69" s="334">
        <v>0.4881172152901424</v>
      </c>
      <c r="X69" s="334">
        <v>0.15646489481501322</v>
      </c>
      <c r="Y69" s="334">
        <v>0.24986839748943171</v>
      </c>
      <c r="Z69" s="334">
        <v>0.24986839748943168</v>
      </c>
      <c r="AA69" s="336">
        <v>0.13319826974938184</v>
      </c>
    </row>
    <row r="70" spans="1:27" s="233" customFormat="1">
      <c r="A70" s="247" t="s">
        <v>702</v>
      </c>
      <c r="B70" s="333">
        <v>410</v>
      </c>
      <c r="C70" s="334">
        <v>8.9047448979591839E-2</v>
      </c>
      <c r="D70" s="334">
        <v>9.5090142422774984E-2</v>
      </c>
      <c r="E70" s="334">
        <v>0.14183906093505005</v>
      </c>
      <c r="F70" s="334">
        <v>0.22960241791801708</v>
      </c>
      <c r="G70" s="335">
        <v>0.66062635647597812</v>
      </c>
      <c r="H70" s="335">
        <v>0.75470421880052851</v>
      </c>
      <c r="I70" s="334">
        <v>8.1989847518469758E-2</v>
      </c>
      <c r="J70" s="334">
        <v>0.3314076568122884</v>
      </c>
      <c r="K70" s="334">
        <v>5.7771999999999997E-2</v>
      </c>
      <c r="L70" s="334">
        <v>0.20643756890014023</v>
      </c>
      <c r="M70" s="334">
        <v>7.3964668793585001E-2</v>
      </c>
      <c r="N70" s="335">
        <v>1.9954223493321779</v>
      </c>
      <c r="O70" s="335">
        <v>2.4732234030954965</v>
      </c>
      <c r="P70" s="335">
        <v>16.596544444347053</v>
      </c>
      <c r="Q70" s="335">
        <v>27.876632058383535</v>
      </c>
      <c r="R70" s="335">
        <v>8.9562177474175435</v>
      </c>
      <c r="S70" s="335">
        <v>67.305805898554524</v>
      </c>
      <c r="T70" s="334">
        <v>-8.902963365388995E-3</v>
      </c>
      <c r="U70" s="334">
        <v>4.229238417178479E-2</v>
      </c>
      <c r="V70" s="334">
        <v>1.785883321955373E-2</v>
      </c>
      <c r="W70" s="334">
        <v>0.27267513631650975</v>
      </c>
      <c r="X70" s="334">
        <v>0.2813626967080739</v>
      </c>
      <c r="Y70" s="334">
        <v>0.6656518498202616</v>
      </c>
      <c r="Z70" s="334">
        <v>0.6656518498202616</v>
      </c>
      <c r="AA70" s="336">
        <v>8.8732213744314017E-2</v>
      </c>
    </row>
    <row r="71" spans="1:27" s="233" customFormat="1">
      <c r="A71" s="247" t="s">
        <v>703</v>
      </c>
      <c r="B71" s="333">
        <v>212</v>
      </c>
      <c r="C71" s="334">
        <v>0.10983979729729727</v>
      </c>
      <c r="D71" s="334">
        <v>5.1513672925833615E-2</v>
      </c>
      <c r="E71" s="334">
        <v>0.10474129181968908</v>
      </c>
      <c r="F71" s="334">
        <v>0.23394125799520671</v>
      </c>
      <c r="G71" s="335">
        <v>0.62980563451829075</v>
      </c>
      <c r="H71" s="335">
        <v>0.83455337838450927</v>
      </c>
      <c r="I71" s="334">
        <v>8.648535520304787E-2</v>
      </c>
      <c r="J71" s="334">
        <v>0.37070271542838268</v>
      </c>
      <c r="K71" s="334">
        <v>5.7771999999999997E-2</v>
      </c>
      <c r="L71" s="334">
        <v>0.3453292235973775</v>
      </c>
      <c r="M71" s="334">
        <v>7.1508388235835746E-2</v>
      </c>
      <c r="N71" s="335">
        <v>2.5373197222372315</v>
      </c>
      <c r="O71" s="335">
        <v>0.87790240773035544</v>
      </c>
      <c r="P71" s="335">
        <v>12.282330260020291</v>
      </c>
      <c r="Q71" s="335">
        <v>17.56290961731483</v>
      </c>
      <c r="R71" s="335">
        <v>3.1904742218859665</v>
      </c>
      <c r="S71" s="335">
        <v>238.003934271649</v>
      </c>
      <c r="T71" s="334">
        <v>0.10320512510493429</v>
      </c>
      <c r="U71" s="334">
        <v>2.421797216479497E-2</v>
      </c>
      <c r="V71" s="334">
        <v>1.8317826459064424E-2</v>
      </c>
      <c r="W71" s="334">
        <v>0.39696619317949527</v>
      </c>
      <c r="X71" s="334">
        <v>0.1271849593303982</v>
      </c>
      <c r="Y71" s="334">
        <v>0.41461232163471651</v>
      </c>
      <c r="Z71" s="334">
        <v>0.41461232163471651</v>
      </c>
      <c r="AA71" s="336">
        <v>4.9726733966892804E-2</v>
      </c>
    </row>
    <row r="72" spans="1:27" s="233" customFormat="1">
      <c r="A72" s="247" t="s">
        <v>704</v>
      </c>
      <c r="B72" s="333">
        <v>121</v>
      </c>
      <c r="C72" s="334">
        <v>4.3941590909090909E-2</v>
      </c>
      <c r="D72" s="334">
        <v>0.10590048288020613</v>
      </c>
      <c r="E72" s="334">
        <v>0.23141477875102603</v>
      </c>
      <c r="F72" s="334">
        <v>0.24661713540460803</v>
      </c>
      <c r="G72" s="335">
        <v>0.80465412614414389</v>
      </c>
      <c r="H72" s="335">
        <v>0.94488862631815718</v>
      </c>
      <c r="I72" s="334">
        <v>9.269722966171226E-2</v>
      </c>
      <c r="J72" s="334">
        <v>0.3431839495105764</v>
      </c>
      <c r="K72" s="334">
        <v>5.7771999999999997E-2</v>
      </c>
      <c r="L72" s="334">
        <v>0.20604547434645848</v>
      </c>
      <c r="M72" s="334">
        <v>8.2481085824587269E-2</v>
      </c>
      <c r="N72" s="335">
        <v>2.7428269990594489</v>
      </c>
      <c r="O72" s="335">
        <v>1.909106375749557</v>
      </c>
      <c r="P72" s="335">
        <v>13.481950418489197</v>
      </c>
      <c r="Q72" s="335">
        <v>18.19498298108233</v>
      </c>
      <c r="R72" s="335">
        <v>12.670964253648238</v>
      </c>
      <c r="S72" s="335">
        <v>27.828711510513891</v>
      </c>
      <c r="T72" s="334">
        <v>9.7627404623193859E-2</v>
      </c>
      <c r="U72" s="334">
        <v>2.5463001999374128E-2</v>
      </c>
      <c r="V72" s="334">
        <v>4.3737315055559008E-2</v>
      </c>
      <c r="W72" s="334">
        <v>0.5665844485168845</v>
      </c>
      <c r="X72" s="334">
        <v>0.70776342361878386</v>
      </c>
      <c r="Y72" s="334">
        <v>0.561381963122771</v>
      </c>
      <c r="Z72" s="334">
        <v>0.561381963122771</v>
      </c>
      <c r="AA72" s="336">
        <v>0.10450992630285244</v>
      </c>
    </row>
    <row r="73" spans="1:27" s="233" customFormat="1">
      <c r="A73" s="247" t="s">
        <v>705</v>
      </c>
      <c r="B73" s="333">
        <v>1079</v>
      </c>
      <c r="C73" s="334">
        <v>0.16979288437102913</v>
      </c>
      <c r="D73" s="334">
        <v>4.7892134311251375E-2</v>
      </c>
      <c r="E73" s="334">
        <v>7.256195383239139E-2</v>
      </c>
      <c r="F73" s="334">
        <v>0.22433167763764833</v>
      </c>
      <c r="G73" s="335">
        <v>0.64278703543545312</v>
      </c>
      <c r="H73" s="335">
        <v>0.81359430388803722</v>
      </c>
      <c r="I73" s="334">
        <v>8.5305359308896489E-2</v>
      </c>
      <c r="J73" s="334">
        <v>0.38602638039912335</v>
      </c>
      <c r="K73" s="334">
        <v>5.7771999999999997E-2</v>
      </c>
      <c r="L73" s="334">
        <v>0.32585307504171479</v>
      </c>
      <c r="M73" s="334">
        <v>7.1557580368786816E-2</v>
      </c>
      <c r="N73" s="335">
        <v>1.8277619773444072</v>
      </c>
      <c r="O73" s="335">
        <v>0.97148734324016051</v>
      </c>
      <c r="P73" s="335">
        <v>14.414582844894101</v>
      </c>
      <c r="Q73" s="335">
        <v>19.444777167355095</v>
      </c>
      <c r="R73" s="335">
        <v>1.8753852412231202</v>
      </c>
      <c r="S73" s="335">
        <v>82.291693329292443</v>
      </c>
      <c r="T73" s="334">
        <v>0.15972061827940978</v>
      </c>
      <c r="U73" s="334">
        <v>2.9437901253949947E-2</v>
      </c>
      <c r="V73" s="334">
        <v>3.1827828484839248E-2</v>
      </c>
      <c r="W73" s="334">
        <v>0.99737542651475508</v>
      </c>
      <c r="X73" s="334">
        <v>0.11508742614715385</v>
      </c>
      <c r="Y73" s="334">
        <v>0.50853115787434366</v>
      </c>
      <c r="Z73" s="334">
        <v>0.50853115787434366</v>
      </c>
      <c r="AA73" s="336">
        <v>4.8279479237924298E-2</v>
      </c>
    </row>
    <row r="74" spans="1:27" s="233" customFormat="1">
      <c r="A74" s="247" t="s">
        <v>706</v>
      </c>
      <c r="B74" s="333">
        <v>252</v>
      </c>
      <c r="C74" s="334">
        <v>2.5061675126903563E-2</v>
      </c>
      <c r="D74" s="334">
        <v>6.4743400550415275E-2</v>
      </c>
      <c r="E74" s="334">
        <v>0.11723450186313795</v>
      </c>
      <c r="F74" s="334">
        <v>0.19146034970178982</v>
      </c>
      <c r="G74" s="335">
        <v>0.9372779491064982</v>
      </c>
      <c r="H74" s="335">
        <v>0.98254580406685521</v>
      </c>
      <c r="I74" s="334">
        <v>9.4817328768963954E-2</v>
      </c>
      <c r="J74" s="334">
        <v>0.3615244623466804</v>
      </c>
      <c r="K74" s="334">
        <v>5.7771999999999997E-2</v>
      </c>
      <c r="L74" s="334">
        <v>0.11539297913800715</v>
      </c>
      <c r="M74" s="334">
        <v>8.8851271133670223E-2</v>
      </c>
      <c r="N74" s="335">
        <v>2.7255166819139514</v>
      </c>
      <c r="O74" s="335">
        <v>1.9322308961706129</v>
      </c>
      <c r="P74" s="335">
        <v>17.096735631135832</v>
      </c>
      <c r="Q74" s="335">
        <v>30.665896199902637</v>
      </c>
      <c r="R74" s="335">
        <v>5.2885805159426775</v>
      </c>
      <c r="S74" s="335">
        <v>66.245768689982839</v>
      </c>
      <c r="T74" s="334">
        <v>1.2170965726520877E-2</v>
      </c>
      <c r="U74" s="334">
        <v>6.8160164199934148E-2</v>
      </c>
      <c r="V74" s="334">
        <v>3.8404265497585473E-2</v>
      </c>
      <c r="W74" s="334">
        <v>0.77463070950940549</v>
      </c>
      <c r="X74" s="334">
        <v>0.21029872160080001</v>
      </c>
      <c r="Y74" s="334">
        <v>0.1565947270144975</v>
      </c>
      <c r="Z74" s="334">
        <v>0.1565947270144975</v>
      </c>
      <c r="AA74" s="336">
        <v>6.7189951012661231E-2</v>
      </c>
    </row>
    <row r="75" spans="1:27" s="233" customFormat="1">
      <c r="A75" s="247" t="s">
        <v>707</v>
      </c>
      <c r="B75" s="333">
        <v>215</v>
      </c>
      <c r="C75" s="334">
        <v>5.5062738095238102E-2</v>
      </c>
      <c r="D75" s="334">
        <v>3.7796479891814838E-2</v>
      </c>
      <c r="E75" s="334">
        <v>0.10077396955084775</v>
      </c>
      <c r="F75" s="334">
        <v>0.25831485905571144</v>
      </c>
      <c r="G75" s="335">
        <v>0.69051686848667837</v>
      </c>
      <c r="H75" s="335">
        <v>0.8735269236418004</v>
      </c>
      <c r="I75" s="334">
        <v>8.8679565801033367E-2</v>
      </c>
      <c r="J75" s="334">
        <v>0.36190391432973257</v>
      </c>
      <c r="K75" s="334">
        <v>5.7771999999999997E-2</v>
      </c>
      <c r="L75" s="334">
        <v>0.3148862540972695</v>
      </c>
      <c r="M75" s="334">
        <v>7.4331987062668914E-2</v>
      </c>
      <c r="N75" s="335">
        <v>3.4998627235532167</v>
      </c>
      <c r="O75" s="335">
        <v>0.66773808113733657</v>
      </c>
      <c r="P75" s="335">
        <v>10.342816737252068</v>
      </c>
      <c r="Q75" s="335">
        <v>17.802840948359499</v>
      </c>
      <c r="R75" s="335">
        <v>2.5948655001517769</v>
      </c>
      <c r="S75" s="335">
        <v>62.973974095247442</v>
      </c>
      <c r="T75" s="334">
        <v>-2.6267380760902511E-2</v>
      </c>
      <c r="U75" s="334">
        <v>2.1918133525408546E-2</v>
      </c>
      <c r="V75" s="334">
        <v>2.2327245656392357E-3</v>
      </c>
      <c r="W75" s="334">
        <v>0.11000693895086246</v>
      </c>
      <c r="X75" s="334">
        <v>0.1095651748537876</v>
      </c>
      <c r="Y75" s="334">
        <v>0.53381243523094246</v>
      </c>
      <c r="Z75" s="334">
        <v>0.53381243523094246</v>
      </c>
      <c r="AA75" s="336">
        <v>3.6694028724882449E-2</v>
      </c>
    </row>
    <row r="76" spans="1:27" s="233" customFormat="1">
      <c r="A76" s="247" t="s">
        <v>797</v>
      </c>
      <c r="B76" s="333">
        <v>113</v>
      </c>
      <c r="C76" s="334">
        <v>0.1011641935483871</v>
      </c>
      <c r="D76" s="334">
        <v>0.5001563909753286</v>
      </c>
      <c r="E76" s="334">
        <v>5.0883610974584499E-2</v>
      </c>
      <c r="F76" s="334">
        <v>7.1140492042887124E-2</v>
      </c>
      <c r="G76" s="335">
        <v>0.40731020203895812</v>
      </c>
      <c r="H76" s="335">
        <v>0.6078154093364273</v>
      </c>
      <c r="I76" s="334">
        <v>7.3720007545640856E-2</v>
      </c>
      <c r="J76" s="334">
        <v>0.1781362514483556</v>
      </c>
      <c r="K76" s="334">
        <v>5.4405999999999996E-2</v>
      </c>
      <c r="L76" s="334">
        <v>0.41565794083435648</v>
      </c>
      <c r="M76" s="334">
        <v>5.9954742599764625E-2</v>
      </c>
      <c r="N76" s="335">
        <v>0.11103417495718147</v>
      </c>
      <c r="O76" s="335">
        <v>11.50206315471085</v>
      </c>
      <c r="P76" s="335">
        <v>16.763791528538736</v>
      </c>
      <c r="Q76" s="335">
        <v>21.147489264341331</v>
      </c>
      <c r="R76" s="335">
        <v>1.3298243128471734</v>
      </c>
      <c r="S76" s="335">
        <v>106.55990087693755</v>
      </c>
      <c r="T76" s="334">
        <v>1.553750689302308E-3</v>
      </c>
      <c r="U76" s="334">
        <v>3.9327592654668536E-2</v>
      </c>
      <c r="V76" s="334">
        <v>-3.5873284275734295E-2</v>
      </c>
      <c r="W76" s="334">
        <v>-7.7268602486705293E-2</v>
      </c>
      <c r="X76" s="334">
        <v>5.8307964140208134E-2</v>
      </c>
      <c r="Y76" s="334">
        <v>1.1936116517488549</v>
      </c>
      <c r="Z76" s="334">
        <v>1.1936116517488549</v>
      </c>
      <c r="AA76" s="336">
        <v>0.49183301022351711</v>
      </c>
    </row>
    <row r="77" spans="1:27" s="233" customFormat="1">
      <c r="A77" s="247" t="s">
        <v>708</v>
      </c>
      <c r="B77" s="333">
        <v>649</v>
      </c>
      <c r="C77" s="334">
        <v>8.6406143497757895E-2</v>
      </c>
      <c r="D77" s="334">
        <v>7.4083281782554022E-2</v>
      </c>
      <c r="E77" s="334">
        <v>0.17001609417625824</v>
      </c>
      <c r="F77" s="334">
        <v>0.24845197793391186</v>
      </c>
      <c r="G77" s="335">
        <v>0.90363863920391541</v>
      </c>
      <c r="H77" s="335">
        <v>0.96041593044697338</v>
      </c>
      <c r="I77" s="334">
        <v>9.3571416884164607E-2</v>
      </c>
      <c r="J77" s="334">
        <v>0.3974555854898027</v>
      </c>
      <c r="K77" s="334">
        <v>5.7771999999999997E-2</v>
      </c>
      <c r="L77" s="334">
        <v>0.15515530845596021</v>
      </c>
      <c r="M77" s="334">
        <v>8.574287375475266E-2</v>
      </c>
      <c r="N77" s="335">
        <v>2.7207010910601324</v>
      </c>
      <c r="O77" s="335">
        <v>1.4949799924145044</v>
      </c>
      <c r="P77" s="335">
        <v>13.109713328023139</v>
      </c>
      <c r="Q77" s="335">
        <v>19.337395786161547</v>
      </c>
      <c r="R77" s="335">
        <v>4.4095622954924014</v>
      </c>
      <c r="S77" s="335">
        <v>67.317167349162645</v>
      </c>
      <c r="T77" s="334">
        <v>7.3455160669983505E-2</v>
      </c>
      <c r="U77" s="334">
        <v>2.529875401398797E-2</v>
      </c>
      <c r="V77" s="334">
        <v>3.1325848780055414E-3</v>
      </c>
      <c r="W77" s="334">
        <v>0.19406407845405152</v>
      </c>
      <c r="X77" s="334">
        <v>0.16570395097706253</v>
      </c>
      <c r="Y77" s="334">
        <v>0.38294353167851108</v>
      </c>
      <c r="Z77" s="334">
        <v>0.38294353167851103</v>
      </c>
      <c r="AA77" s="336">
        <v>7.5951421279681589E-2</v>
      </c>
    </row>
    <row r="78" spans="1:27" s="233" customFormat="1">
      <c r="A78" s="247" t="s">
        <v>709</v>
      </c>
      <c r="B78" s="333">
        <v>91</v>
      </c>
      <c r="C78" s="334">
        <v>9.2108481012658283E-2</v>
      </c>
      <c r="D78" s="334">
        <v>7.3049578575427834E-2</v>
      </c>
      <c r="E78" s="334">
        <v>8.2762656267239262E-2</v>
      </c>
      <c r="F78" s="334">
        <v>0.28134854681280763</v>
      </c>
      <c r="G78" s="335">
        <v>0.78074674150511325</v>
      </c>
      <c r="H78" s="335">
        <v>0.94075973310406935</v>
      </c>
      <c r="I78" s="334">
        <v>9.2464772973759102E-2</v>
      </c>
      <c r="J78" s="334">
        <v>0.30131181809879704</v>
      </c>
      <c r="K78" s="334">
        <v>5.7771999999999997E-2</v>
      </c>
      <c r="L78" s="334">
        <v>0.30613703903286077</v>
      </c>
      <c r="M78" s="334">
        <v>7.73570541736113E-2</v>
      </c>
      <c r="N78" s="335">
        <v>1.451849529929093</v>
      </c>
      <c r="O78" s="335">
        <v>0.89908406620308279</v>
      </c>
      <c r="P78" s="335">
        <v>6.8176847596424777</v>
      </c>
      <c r="Q78" s="335">
        <v>12.123346855141962</v>
      </c>
      <c r="R78" s="335">
        <v>1.2654087599913411</v>
      </c>
      <c r="S78" s="335">
        <v>26.607247683913144</v>
      </c>
      <c r="T78" s="334">
        <v>0.21174000335610399</v>
      </c>
      <c r="U78" s="334">
        <v>6.3403700658958909E-2</v>
      </c>
      <c r="V78" s="334">
        <v>3.2857263952437564E-2</v>
      </c>
      <c r="W78" s="334">
        <v>0.89124050501623553</v>
      </c>
      <c r="X78" s="334">
        <v>6.0494329687034554E-2</v>
      </c>
      <c r="Y78" s="334">
        <v>0.68304831861159965</v>
      </c>
      <c r="Z78" s="334">
        <v>0.68304831861159965</v>
      </c>
      <c r="AA78" s="336">
        <v>7.9624872176099787E-2</v>
      </c>
    </row>
    <row r="79" spans="1:27" s="233" customFormat="1">
      <c r="A79" s="247" t="s">
        <v>710</v>
      </c>
      <c r="B79" s="333">
        <v>675</v>
      </c>
      <c r="C79" s="334">
        <v>7.8109138655462221E-2</v>
      </c>
      <c r="D79" s="334">
        <v>0.26990378522336878</v>
      </c>
      <c r="E79" s="334">
        <v>0.20536358786097239</v>
      </c>
      <c r="F79" s="334">
        <v>0.16083227330952629</v>
      </c>
      <c r="G79" s="335">
        <v>1.8688970322549403</v>
      </c>
      <c r="H79" s="335">
        <v>1.8767658886551528</v>
      </c>
      <c r="I79" s="334">
        <v>0.1451619195312851</v>
      </c>
      <c r="J79" s="334">
        <v>0.45081257386937451</v>
      </c>
      <c r="K79" s="334">
        <v>6.0012999999999997E-2</v>
      </c>
      <c r="L79" s="334">
        <v>3.9618601280872606E-2</v>
      </c>
      <c r="M79" s="334">
        <v>0.14118523342407169</v>
      </c>
      <c r="N79" s="335">
        <v>1.1093275565924048</v>
      </c>
      <c r="O79" s="335">
        <v>10.621894238291468</v>
      </c>
      <c r="P79" s="335">
        <v>26.976543476676436</v>
      </c>
      <c r="Q79" s="335">
        <v>38.242514390732232</v>
      </c>
      <c r="R79" s="335">
        <v>8.976167264269229</v>
      </c>
      <c r="S79" s="335">
        <v>192.02913151939632</v>
      </c>
      <c r="T79" s="334">
        <v>0.17616347381920058</v>
      </c>
      <c r="U79" s="334">
        <v>0.15883331617646493</v>
      </c>
      <c r="V79" s="334">
        <v>8.8747211099417272E-2</v>
      </c>
      <c r="W79" s="334">
        <v>0.58276667159328688</v>
      </c>
      <c r="X79" s="334">
        <v>0.23986102509073642</v>
      </c>
      <c r="Y79" s="334">
        <v>0.22592113553129281</v>
      </c>
      <c r="Z79" s="334">
        <v>0.22592113553129278</v>
      </c>
      <c r="AA79" s="336">
        <v>0.2808488955902988</v>
      </c>
    </row>
    <row r="80" spans="1:27" s="233" customFormat="1">
      <c r="A80" s="247" t="s">
        <v>711</v>
      </c>
      <c r="B80" s="333">
        <v>391</v>
      </c>
      <c r="C80" s="334">
        <v>0.11085405693950171</v>
      </c>
      <c r="D80" s="334">
        <v>0.20279909591635439</v>
      </c>
      <c r="E80" s="334">
        <v>0.17156324390987804</v>
      </c>
      <c r="F80" s="334">
        <v>0.19098339781324108</v>
      </c>
      <c r="G80" s="335">
        <v>2.1172515658371309</v>
      </c>
      <c r="H80" s="335">
        <v>2.1257667102617472</v>
      </c>
      <c r="I80" s="334">
        <v>0.15918066578773638</v>
      </c>
      <c r="J80" s="334">
        <v>0.45989117855201983</v>
      </c>
      <c r="K80" s="334">
        <v>6.0012999999999997E-2</v>
      </c>
      <c r="L80" s="334">
        <v>5.3111712924210255E-2</v>
      </c>
      <c r="M80" s="334">
        <v>0.15310505952918138</v>
      </c>
      <c r="N80" s="335">
        <v>1.2337754870700348</v>
      </c>
      <c r="O80" s="335">
        <v>6.9400795375132756</v>
      </c>
      <c r="P80" s="335">
        <v>25.66213960211013</v>
      </c>
      <c r="Q80" s="335">
        <v>32.99726451885536</v>
      </c>
      <c r="R80" s="335">
        <v>7.1840343028563023</v>
      </c>
      <c r="S80" s="335">
        <v>117.91212715422344</v>
      </c>
      <c r="T80" s="334">
        <v>0.30599775500330867</v>
      </c>
      <c r="U80" s="334">
        <v>8.5202637853746779E-2</v>
      </c>
      <c r="V80" s="334">
        <v>5.6182382296095429E-2</v>
      </c>
      <c r="W80" s="334">
        <v>0.48926317011342724</v>
      </c>
      <c r="X80" s="334">
        <v>0.19715312723710124</v>
      </c>
      <c r="Y80" s="334">
        <v>0.31161638515488421</v>
      </c>
      <c r="Z80" s="334">
        <v>0.31161638515488421</v>
      </c>
      <c r="AA80" s="336">
        <v>0.20979648696253736</v>
      </c>
    </row>
    <row r="81" spans="1:27" s="233" customFormat="1">
      <c r="A81" s="247" t="s">
        <v>712</v>
      </c>
      <c r="B81" s="333">
        <v>359</v>
      </c>
      <c r="C81" s="334">
        <v>9.747634408602146E-2</v>
      </c>
      <c r="D81" s="334">
        <v>0.1434449122081565</v>
      </c>
      <c r="E81" s="334">
        <v>8.8414087063459476E-2</v>
      </c>
      <c r="F81" s="334">
        <v>0.14020602328652887</v>
      </c>
      <c r="G81" s="335">
        <v>0.78712481137007473</v>
      </c>
      <c r="H81" s="335">
        <v>0.87439896476446011</v>
      </c>
      <c r="I81" s="334">
        <v>8.872866171623911E-2</v>
      </c>
      <c r="J81" s="334">
        <v>0.33781140926852876</v>
      </c>
      <c r="K81" s="334">
        <v>5.7771999999999997E-2</v>
      </c>
      <c r="L81" s="334">
        <v>0.29425569385678269</v>
      </c>
      <c r="M81" s="334">
        <v>7.5306653719265634E-2</v>
      </c>
      <c r="N81" s="335">
        <v>0.71365532291727141</v>
      </c>
      <c r="O81" s="335">
        <v>1.616065969453053</v>
      </c>
      <c r="P81" s="335">
        <v>7.4741161546339567</v>
      </c>
      <c r="Q81" s="335">
        <v>10.974488436518177</v>
      </c>
      <c r="R81" s="335">
        <v>0.99712564025089356</v>
      </c>
      <c r="S81" s="335">
        <v>21.249340906955048</v>
      </c>
      <c r="T81" s="334">
        <v>-1.2555098111303271E-2</v>
      </c>
      <c r="U81" s="334">
        <v>0.11572716683623148</v>
      </c>
      <c r="V81" s="334">
        <v>5.8926786593525106E-2</v>
      </c>
      <c r="W81" s="334">
        <v>0.47622156965408635</v>
      </c>
      <c r="X81" s="334">
        <v>0.11400581429528672</v>
      </c>
      <c r="Y81" s="334">
        <v>0.55833898323116704</v>
      </c>
      <c r="Z81" s="334">
        <v>0.55833898323116704</v>
      </c>
      <c r="AA81" s="336">
        <v>0.14632746960728582</v>
      </c>
    </row>
    <row r="82" spans="1:27" s="233" customFormat="1">
      <c r="A82" s="247" t="s">
        <v>713</v>
      </c>
      <c r="B82" s="333">
        <v>84</v>
      </c>
      <c r="C82" s="334">
        <v>6.3837727272727282E-2</v>
      </c>
      <c r="D82" s="334">
        <v>8.8035408246908808E-2</v>
      </c>
      <c r="E82" s="334">
        <v>0.15291778945081269</v>
      </c>
      <c r="F82" s="334">
        <v>0.21447471310203817</v>
      </c>
      <c r="G82" s="335">
        <v>0.89381870498998861</v>
      </c>
      <c r="H82" s="335">
        <v>0.91837328491128123</v>
      </c>
      <c r="I82" s="334">
        <v>9.1204415940505129E-2</v>
      </c>
      <c r="J82" s="334">
        <v>0.42422280221597664</v>
      </c>
      <c r="K82" s="334">
        <v>5.7771999999999997E-2</v>
      </c>
      <c r="L82" s="334">
        <v>0.12506357037509869</v>
      </c>
      <c r="M82" s="334">
        <v>8.5190212351218125E-2</v>
      </c>
      <c r="N82" s="335">
        <v>2.1149240269271345</v>
      </c>
      <c r="O82" s="335">
        <v>1.7476230502879</v>
      </c>
      <c r="P82" s="335">
        <v>14.66784277019671</v>
      </c>
      <c r="Q82" s="335">
        <v>19.566302351169579</v>
      </c>
      <c r="R82" s="335">
        <v>3.6529125867100687</v>
      </c>
      <c r="S82" s="335">
        <v>38.533801051708444</v>
      </c>
      <c r="T82" s="334">
        <v>0.17495710741297821</v>
      </c>
      <c r="U82" s="334">
        <v>2.0262696858472571E-2</v>
      </c>
      <c r="V82" s="334">
        <v>3.354255980206194E-3</v>
      </c>
      <c r="W82" s="334">
        <v>0.15162513975049693</v>
      </c>
      <c r="X82" s="334">
        <v>0.14002258646862234</v>
      </c>
      <c r="Y82" s="334">
        <v>0.63544802334799111</v>
      </c>
      <c r="Z82" s="334">
        <v>0.63544802334799111</v>
      </c>
      <c r="AA82" s="336">
        <v>8.902140846782168E-2</v>
      </c>
    </row>
    <row r="83" spans="1:27" s="233" customFormat="1">
      <c r="A83" s="247" t="s">
        <v>714</v>
      </c>
      <c r="B83" s="333">
        <v>298</v>
      </c>
      <c r="C83" s="334">
        <v>0.16524299999999989</v>
      </c>
      <c r="D83" s="334">
        <v>0.31895272780256917</v>
      </c>
      <c r="E83" s="334">
        <v>0.22833611523325711</v>
      </c>
      <c r="F83" s="334">
        <v>0.21512423335559711</v>
      </c>
      <c r="G83" s="335">
        <v>1.2346330983114904</v>
      </c>
      <c r="H83" s="335">
        <v>1.2464073160794664</v>
      </c>
      <c r="I83" s="334">
        <v>0.10967273189527396</v>
      </c>
      <c r="J83" s="334">
        <v>0.49307474542404139</v>
      </c>
      <c r="K83" s="334">
        <v>6.0012999999999997E-2</v>
      </c>
      <c r="L83" s="334">
        <v>3.0415799123582554E-2</v>
      </c>
      <c r="M83" s="334">
        <v>0.10769920185681009</v>
      </c>
      <c r="N83" s="335">
        <v>1.1502024318816668</v>
      </c>
      <c r="O83" s="335">
        <v>8.3289911362135136</v>
      </c>
      <c r="P83" s="335">
        <v>21.428811741093899</v>
      </c>
      <c r="Q83" s="335">
        <v>26.066702546734756</v>
      </c>
      <c r="R83" s="335">
        <v>7.2948091820436067</v>
      </c>
      <c r="S83" s="335">
        <v>62.428730434104082</v>
      </c>
      <c r="T83" s="334">
        <v>3.72555968313419E-2</v>
      </c>
      <c r="U83" s="334">
        <v>0.19711097590003224</v>
      </c>
      <c r="V83" s="334">
        <v>0.16626623778067279</v>
      </c>
      <c r="W83" s="334">
        <v>0.70948632804315059</v>
      </c>
      <c r="X83" s="334">
        <v>0.30979572269230765</v>
      </c>
      <c r="Y83" s="334">
        <v>0.10314754411798596</v>
      </c>
      <c r="Z83" s="334">
        <v>0.10314754411798599</v>
      </c>
      <c r="AA83" s="336">
        <v>0.33817135726612102</v>
      </c>
    </row>
    <row r="84" spans="1:27" s="233" customFormat="1">
      <c r="A84" s="247" t="s">
        <v>715</v>
      </c>
      <c r="B84" s="333">
        <v>150</v>
      </c>
      <c r="C84" s="334">
        <v>0.14073963302752299</v>
      </c>
      <c r="D84" s="334">
        <v>6.1676987589559598E-2</v>
      </c>
      <c r="E84" s="334">
        <v>5.7802124132283542E-2</v>
      </c>
      <c r="F84" s="334">
        <v>0.16174829389887491</v>
      </c>
      <c r="G84" s="335">
        <v>1.3370400063421872</v>
      </c>
      <c r="H84" s="335">
        <v>1.3921316886176907</v>
      </c>
      <c r="I84" s="334">
        <v>0.117877014069176</v>
      </c>
      <c r="J84" s="334">
        <v>0.48486345619920307</v>
      </c>
      <c r="K84" s="334">
        <v>6.0012999999999997E-2</v>
      </c>
      <c r="L84" s="334">
        <v>9.101234563085206E-2</v>
      </c>
      <c r="M84" s="334">
        <v>0.11122498432811372</v>
      </c>
      <c r="N84" s="335">
        <v>1.4006430073458966</v>
      </c>
      <c r="O84" s="335">
        <v>7.7284981236380013</v>
      </c>
      <c r="P84" s="335">
        <v>40.550718897947107</v>
      </c>
      <c r="Q84" s="335">
        <v>104.42991508872967</v>
      </c>
      <c r="R84" s="335">
        <v>10.21009456111655</v>
      </c>
      <c r="S84" s="335">
        <v>99.392655668606054</v>
      </c>
      <c r="T84" s="334">
        <v>6.8461428911249927E-2</v>
      </c>
      <c r="U84" s="334">
        <v>0.19877662984860098</v>
      </c>
      <c r="V84" s="334">
        <v>0.15240505245230862</v>
      </c>
      <c r="W84" s="334">
        <v>3.7240900774737957</v>
      </c>
      <c r="X84" s="334">
        <v>5.9994836218306924E-2</v>
      </c>
      <c r="Y84" s="334">
        <v>0.29906464071375988</v>
      </c>
      <c r="Z84" s="334">
        <v>0.29906464071375982</v>
      </c>
      <c r="AA84" s="336">
        <v>6.7727787120706734E-2</v>
      </c>
    </row>
    <row r="85" spans="1:27" s="233" customFormat="1">
      <c r="A85" s="247" t="s">
        <v>716</v>
      </c>
      <c r="B85" s="333">
        <v>1532</v>
      </c>
      <c r="C85" s="334">
        <v>0.14843520990312159</v>
      </c>
      <c r="D85" s="334">
        <v>0.2740887358861202</v>
      </c>
      <c r="E85" s="334">
        <v>0.23724516417966579</v>
      </c>
      <c r="F85" s="334">
        <v>0.18671897449396879</v>
      </c>
      <c r="G85" s="335">
        <v>1.3309502549413545</v>
      </c>
      <c r="H85" s="335">
        <v>1.3539552694451324</v>
      </c>
      <c r="I85" s="334">
        <v>0.11572768166976097</v>
      </c>
      <c r="J85" s="334">
        <v>0.50942119176410694</v>
      </c>
      <c r="K85" s="334">
        <v>6.0012999999999997E-2</v>
      </c>
      <c r="L85" s="334">
        <v>5.5138431495641453E-2</v>
      </c>
      <c r="M85" s="334">
        <v>0.1118161624549238</v>
      </c>
      <c r="N85" s="335">
        <v>1.5432136309916049</v>
      </c>
      <c r="O85" s="335">
        <v>9.912802757717099</v>
      </c>
      <c r="P85" s="335">
        <v>24.639465121107065</v>
      </c>
      <c r="Q85" s="335">
        <v>33.193396271954477</v>
      </c>
      <c r="R85" s="335">
        <v>8.1981495011442647</v>
      </c>
      <c r="S85" s="335">
        <v>87.918508947700062</v>
      </c>
      <c r="T85" s="334">
        <v>0.12412626287048049</v>
      </c>
      <c r="U85" s="334">
        <v>0.1469930588225436</v>
      </c>
      <c r="V85" s="334">
        <v>0.14935948870407542</v>
      </c>
      <c r="W85" s="334">
        <v>0.77626511609180493</v>
      </c>
      <c r="X85" s="334">
        <v>0.2367235365270739</v>
      </c>
      <c r="Y85" s="334">
        <v>0.24084951856120052</v>
      </c>
      <c r="Z85" s="334">
        <v>0.24084951856120052</v>
      </c>
      <c r="AA85" s="336">
        <v>0.28890256723888391</v>
      </c>
    </row>
    <row r="86" spans="1:27" s="233" customFormat="1">
      <c r="A86" s="247" t="s">
        <v>717</v>
      </c>
      <c r="B86" s="333">
        <v>719</v>
      </c>
      <c r="C86" s="334">
        <v>0.11385029720279716</v>
      </c>
      <c r="D86" s="334">
        <v>4.8508446900289333E-2</v>
      </c>
      <c r="E86" s="334">
        <v>5.0947063518873376E-2</v>
      </c>
      <c r="F86" s="334">
        <v>0.2550403440388771</v>
      </c>
      <c r="G86" s="335">
        <v>0.92934781469114303</v>
      </c>
      <c r="H86" s="335">
        <v>1.1288582378500207</v>
      </c>
      <c r="I86" s="334">
        <v>0.10305471879095618</v>
      </c>
      <c r="J86" s="334">
        <v>0.37695514088112825</v>
      </c>
      <c r="K86" s="334">
        <v>5.7771999999999997E-2</v>
      </c>
      <c r="L86" s="334">
        <v>0.32127721829491923</v>
      </c>
      <c r="M86" s="334">
        <v>8.3797530935548453E-2</v>
      </c>
      <c r="N86" s="335">
        <v>1.2596433723710436</v>
      </c>
      <c r="O86" s="335">
        <v>0.94913306276670106</v>
      </c>
      <c r="P86" s="335">
        <v>8.9937520275322704</v>
      </c>
      <c r="Q86" s="335">
        <v>18.369667213951505</v>
      </c>
      <c r="R86" s="335">
        <v>1.0950613948233805</v>
      </c>
      <c r="S86" s="335">
        <v>42.37550772705778</v>
      </c>
      <c r="T86" s="334">
        <v>0.14133576054102731</v>
      </c>
      <c r="U86" s="334">
        <v>6.6476799279725177E-2</v>
      </c>
      <c r="V86" s="334">
        <v>3.7505614772398659E-2</v>
      </c>
      <c r="W86" s="334">
        <v>0.96365925432487187</v>
      </c>
      <c r="X86" s="334">
        <v>3.9528855924612673E-2</v>
      </c>
      <c r="Y86" s="334">
        <v>0.87151117129458766</v>
      </c>
      <c r="Z86" s="334">
        <v>0.87151117129458766</v>
      </c>
      <c r="AA86" s="336">
        <v>4.8928943907724995E-2</v>
      </c>
    </row>
    <row r="87" spans="1:27" s="233" customFormat="1">
      <c r="A87" s="247" t="s">
        <v>718</v>
      </c>
      <c r="B87" s="333">
        <v>101</v>
      </c>
      <c r="C87" s="334">
        <v>4.9522195121951225E-2</v>
      </c>
      <c r="D87" s="334">
        <v>0.15829097545602175</v>
      </c>
      <c r="E87" s="334">
        <v>9.2936035146502671E-2</v>
      </c>
      <c r="F87" s="334">
        <v>0.19843744301475041</v>
      </c>
      <c r="G87" s="335">
        <v>0.60284208224407165</v>
      </c>
      <c r="H87" s="335">
        <v>0.78241766837198856</v>
      </c>
      <c r="I87" s="334">
        <v>8.3550114729342956E-2</v>
      </c>
      <c r="J87" s="334">
        <v>0.28264737858543865</v>
      </c>
      <c r="K87" s="334">
        <v>5.4405999999999996E-2</v>
      </c>
      <c r="L87" s="334">
        <v>0.33318894568079654</v>
      </c>
      <c r="M87" s="334">
        <v>6.9240676757414424E-2</v>
      </c>
      <c r="N87" s="335">
        <v>0.7158335256276035</v>
      </c>
      <c r="O87" s="335">
        <v>2.6071893791295442</v>
      </c>
      <c r="P87" s="335">
        <v>8.424129392830098</v>
      </c>
      <c r="Q87" s="335">
        <v>16.524688335616098</v>
      </c>
      <c r="R87" s="335">
        <v>1.8461204951794217</v>
      </c>
      <c r="S87" s="335">
        <v>47.840776326784088</v>
      </c>
      <c r="T87" s="334">
        <v>-0.134664697853598</v>
      </c>
      <c r="U87" s="334">
        <v>0.13474069096085226</v>
      </c>
      <c r="V87" s="334">
        <v>3.3282017451580777E-2</v>
      </c>
      <c r="W87" s="334">
        <v>0.47240882307787058</v>
      </c>
      <c r="X87" s="334">
        <v>0.13452867806144464</v>
      </c>
      <c r="Y87" s="334">
        <v>0.54432953642961768</v>
      </c>
      <c r="Z87" s="334">
        <v>0.54432953642961768</v>
      </c>
      <c r="AA87" s="336">
        <v>0.16058338459234126</v>
      </c>
    </row>
    <row r="88" spans="1:27" s="233" customFormat="1">
      <c r="A88" s="247" t="s">
        <v>719</v>
      </c>
      <c r="B88" s="333">
        <v>437</v>
      </c>
      <c r="C88" s="334">
        <v>5.152247956403265E-2</v>
      </c>
      <c r="D88" s="334">
        <v>0.11027127992170961</v>
      </c>
      <c r="E88" s="334">
        <v>0.12728086404035685</v>
      </c>
      <c r="F88" s="334">
        <v>0.17645146991211091</v>
      </c>
      <c r="G88" s="335">
        <v>1.2979321307103502</v>
      </c>
      <c r="H88" s="335">
        <v>1.3279185095980879</v>
      </c>
      <c r="I88" s="334">
        <v>0.11426181209037234</v>
      </c>
      <c r="J88" s="334">
        <v>0.46965569844569227</v>
      </c>
      <c r="K88" s="334">
        <v>6.0012999999999997E-2</v>
      </c>
      <c r="L88" s="334">
        <v>8.7798800782948341E-2</v>
      </c>
      <c r="M88" s="334">
        <v>0.10816206853019525</v>
      </c>
      <c r="N88" s="335">
        <v>2.0507378972478341</v>
      </c>
      <c r="O88" s="335">
        <v>4.1060007355861634</v>
      </c>
      <c r="P88" s="335">
        <v>24.950975209490192</v>
      </c>
      <c r="Q88" s="335">
        <v>34.433938109865089</v>
      </c>
      <c r="R88" s="335">
        <v>5.889119684088354</v>
      </c>
      <c r="S88" s="335">
        <v>125.45102767565331</v>
      </c>
      <c r="T88" s="334">
        <v>0.21130032459389617</v>
      </c>
      <c r="U88" s="334">
        <v>3.1177646831363034E-2</v>
      </c>
      <c r="V88" s="334">
        <v>4.1861773543608843E-2</v>
      </c>
      <c r="W88" s="334">
        <v>0.54163443956988022</v>
      </c>
      <c r="X88" s="334">
        <v>0.14062262992428004</v>
      </c>
      <c r="Y88" s="334">
        <v>0.49516044131315823</v>
      </c>
      <c r="Z88" s="334">
        <v>0.49516044131315828</v>
      </c>
      <c r="AA88" s="336">
        <v>0.11788456703683796</v>
      </c>
    </row>
    <row r="89" spans="1:27" s="233" customFormat="1">
      <c r="A89" s="247" t="s">
        <v>720</v>
      </c>
      <c r="B89" s="333">
        <v>283</v>
      </c>
      <c r="C89" s="334">
        <v>7.2761635514018708E-2</v>
      </c>
      <c r="D89" s="334">
        <v>0.16092618869846106</v>
      </c>
      <c r="E89" s="334">
        <v>9.8727086369280195E-2</v>
      </c>
      <c r="F89" s="334">
        <v>0.22016888747550192</v>
      </c>
      <c r="G89" s="335">
        <v>0.49625571682046693</v>
      </c>
      <c r="H89" s="335">
        <v>0.72897777637413352</v>
      </c>
      <c r="I89" s="334">
        <v>8.0541448809863719E-2</v>
      </c>
      <c r="J89" s="334">
        <v>0.37526607498544212</v>
      </c>
      <c r="K89" s="334">
        <v>5.7771999999999997E-2</v>
      </c>
      <c r="L89" s="334">
        <v>0.42256917839223773</v>
      </c>
      <c r="M89" s="334">
        <v>6.4726288023992329E-2</v>
      </c>
      <c r="N89" s="335">
        <v>0.72583533606884887</v>
      </c>
      <c r="O89" s="335">
        <v>2.2630077844458714</v>
      </c>
      <c r="P89" s="335">
        <v>7.0540862228333863</v>
      </c>
      <c r="Q89" s="335">
        <v>13.704725917404614</v>
      </c>
      <c r="R89" s="335">
        <v>1.6221427468306726</v>
      </c>
      <c r="S89" s="335">
        <v>46.105535801573112</v>
      </c>
      <c r="T89" s="334">
        <v>7.7172520610605325E-3</v>
      </c>
      <c r="U89" s="334">
        <v>0.13995951548986796</v>
      </c>
      <c r="V89" s="334">
        <v>-1.2203596538898302E-2</v>
      </c>
      <c r="W89" s="334">
        <v>-5.1448719619532547E-2</v>
      </c>
      <c r="X89" s="334">
        <v>0.12792528413599275</v>
      </c>
      <c r="Y89" s="334">
        <v>0.59546588028237568</v>
      </c>
      <c r="Z89" s="334">
        <v>0.59546588028237568</v>
      </c>
      <c r="AA89" s="336">
        <v>0.16308241095330775</v>
      </c>
    </row>
    <row r="90" spans="1:27" s="233" customFormat="1">
      <c r="A90" s="247" t="s">
        <v>721</v>
      </c>
      <c r="B90" s="333">
        <v>48</v>
      </c>
      <c r="C90" s="334">
        <v>0.19823170731707321</v>
      </c>
      <c r="D90" s="334">
        <v>0.32668701671639694</v>
      </c>
      <c r="E90" s="334">
        <v>0.24167133409961422</v>
      </c>
      <c r="F90" s="334">
        <v>0.22065534679671747</v>
      </c>
      <c r="G90" s="335">
        <v>0.37431396504476228</v>
      </c>
      <c r="H90" s="335">
        <v>0.42727986432670712</v>
      </c>
      <c r="I90" s="334">
        <v>6.355585636159361E-2</v>
      </c>
      <c r="J90" s="334">
        <v>0.40495862196918808</v>
      </c>
      <c r="K90" s="334">
        <v>5.7771999999999997E-2</v>
      </c>
      <c r="L90" s="334">
        <v>0.19134423004720083</v>
      </c>
      <c r="M90" s="334">
        <v>5.964466305103349E-2</v>
      </c>
      <c r="N90" s="335">
        <v>0.95668281367506414</v>
      </c>
      <c r="O90" s="335">
        <v>4.4467766274789584</v>
      </c>
      <c r="P90" s="335">
        <v>11.996607921625035</v>
      </c>
      <c r="Q90" s="335">
        <v>13.573941984098196</v>
      </c>
      <c r="R90" s="335">
        <v>5.633398746074878</v>
      </c>
      <c r="S90" s="335">
        <v>20.538295543192646</v>
      </c>
      <c r="T90" s="334">
        <v>0.16161438625362154</v>
      </c>
      <c r="U90" s="334">
        <v>2.5575373678970659E-2</v>
      </c>
      <c r="V90" s="334">
        <v>-1.2118239924046219E-3</v>
      </c>
      <c r="W90" s="334">
        <v>8.0999296401351617E-2</v>
      </c>
      <c r="X90" s="334">
        <v>0.28636996854362051</v>
      </c>
      <c r="Y90" s="334">
        <v>0.89955741381705012</v>
      </c>
      <c r="Z90" s="334">
        <v>0.89955741381705012</v>
      </c>
      <c r="AA90" s="336">
        <v>0.32737040470440082</v>
      </c>
    </row>
    <row r="91" spans="1:27" s="233" customFormat="1">
      <c r="A91" s="247" t="s">
        <v>722</v>
      </c>
      <c r="B91" s="333">
        <v>451</v>
      </c>
      <c r="C91" s="334">
        <v>8.4207133757961752E-2</v>
      </c>
      <c r="D91" s="334">
        <v>7.2140585099805921E-2</v>
      </c>
      <c r="E91" s="334">
        <v>8.6620383576458002E-2</v>
      </c>
      <c r="F91" s="334">
        <v>0.21076519411854697</v>
      </c>
      <c r="G91" s="335">
        <v>0.7474630967654462</v>
      </c>
      <c r="H91" s="335">
        <v>0.96386273937396372</v>
      </c>
      <c r="I91" s="334">
        <v>9.376547222675416E-2</v>
      </c>
      <c r="J91" s="334">
        <v>0.3685923699078531</v>
      </c>
      <c r="K91" s="334">
        <v>5.7771999999999997E-2</v>
      </c>
      <c r="L91" s="334">
        <v>0.34840612800722515</v>
      </c>
      <c r="M91" s="334">
        <v>7.6118622188226029E-2</v>
      </c>
      <c r="N91" s="335">
        <v>1.4750420379334863</v>
      </c>
      <c r="O91" s="335">
        <v>1.318488523602003</v>
      </c>
      <c r="P91" s="335">
        <v>11.1838533241064</v>
      </c>
      <c r="Q91" s="335">
        <v>17.935603791439455</v>
      </c>
      <c r="R91" s="335">
        <v>2.0810129745519816</v>
      </c>
      <c r="S91" s="335">
        <v>66.792438527673312</v>
      </c>
      <c r="T91" s="334">
        <v>4.8244550006211223E-2</v>
      </c>
      <c r="U91" s="334">
        <v>4.3124210861135125E-2</v>
      </c>
      <c r="V91" s="334">
        <v>2.3598895403131686E-2</v>
      </c>
      <c r="W91" s="334">
        <v>0.50791727673790621</v>
      </c>
      <c r="X91" s="334">
        <v>0.14032746783149036</v>
      </c>
      <c r="Y91" s="334">
        <v>0.47099993906358417</v>
      </c>
      <c r="Z91" s="334">
        <v>0.47099993906358417</v>
      </c>
      <c r="AA91" s="336">
        <v>7.3077640206510378E-2</v>
      </c>
    </row>
    <row r="92" spans="1:27" s="233" customFormat="1">
      <c r="A92" s="247" t="s">
        <v>723</v>
      </c>
      <c r="B92" s="333">
        <v>54</v>
      </c>
      <c r="C92" s="334">
        <v>6.6650869565217374E-2</v>
      </c>
      <c r="D92" s="334">
        <v>0.23452345889721282</v>
      </c>
      <c r="E92" s="334">
        <v>7.7867281055734497E-2</v>
      </c>
      <c r="F92" s="334">
        <v>0.24701477468037444</v>
      </c>
      <c r="G92" s="335">
        <v>0.5543601703442842</v>
      </c>
      <c r="H92" s="335">
        <v>0.71997893173936756</v>
      </c>
      <c r="I92" s="334">
        <v>8.0034813856926401E-2</v>
      </c>
      <c r="J92" s="334">
        <v>0.22880122338730552</v>
      </c>
      <c r="K92" s="334">
        <v>5.4405999999999996E-2</v>
      </c>
      <c r="L92" s="334">
        <v>0.32176392572744972</v>
      </c>
      <c r="M92" s="334">
        <v>6.7347142276672226E-2</v>
      </c>
      <c r="N92" s="335">
        <v>0.43471152371342198</v>
      </c>
      <c r="O92" s="335">
        <v>3.7779635233455604</v>
      </c>
      <c r="P92" s="335">
        <v>10.935332135748723</v>
      </c>
      <c r="Q92" s="335">
        <v>15.895816902878812</v>
      </c>
      <c r="R92" s="335">
        <v>1.9097996184940471</v>
      </c>
      <c r="S92" s="335">
        <v>39.798597661483726</v>
      </c>
      <c r="T92" s="334">
        <v>7.2631915914827372E-2</v>
      </c>
      <c r="U92" s="334">
        <v>0.17826851236507163</v>
      </c>
      <c r="V92" s="334">
        <v>0.11106243706702104</v>
      </c>
      <c r="W92" s="334">
        <v>0.67845831067562479</v>
      </c>
      <c r="X92" s="334">
        <v>0.12306954526673132</v>
      </c>
      <c r="Y92" s="334">
        <v>0.39131116695555396</v>
      </c>
      <c r="Z92" s="334">
        <v>0.39131116695555401</v>
      </c>
      <c r="AA92" s="336">
        <v>0.23648240626075195</v>
      </c>
    </row>
    <row r="93" spans="1:27" s="233" customFormat="1">
      <c r="A93" s="247" t="s">
        <v>724</v>
      </c>
      <c r="B93" s="333">
        <v>130</v>
      </c>
      <c r="C93" s="334">
        <v>7.8909069767441886E-2</v>
      </c>
      <c r="D93" s="334">
        <v>7.4452779699400229E-2</v>
      </c>
      <c r="E93" s="334">
        <v>8.4354750761050465E-2</v>
      </c>
      <c r="F93" s="334">
        <v>0.26101570775386723</v>
      </c>
      <c r="G93" s="335">
        <v>0.67724637948871769</v>
      </c>
      <c r="H93" s="335">
        <v>0.84978078210214791</v>
      </c>
      <c r="I93" s="334">
        <v>8.7342658032350931E-2</v>
      </c>
      <c r="J93" s="334">
        <v>0.38328522612857158</v>
      </c>
      <c r="K93" s="334">
        <v>5.7771999999999997E-2</v>
      </c>
      <c r="L93" s="334">
        <v>0.28507348943543126</v>
      </c>
      <c r="M93" s="334">
        <v>7.4734594671413704E-2</v>
      </c>
      <c r="N93" s="335">
        <v>1.3690068720198663</v>
      </c>
      <c r="O93" s="335">
        <v>1.5056926980189795</v>
      </c>
      <c r="P93" s="335">
        <v>9.6121064725812086</v>
      </c>
      <c r="Q93" s="335">
        <v>19.425430733092426</v>
      </c>
      <c r="R93" s="335">
        <v>2.3734388878078008</v>
      </c>
      <c r="S93" s="335">
        <v>29.300891562235442</v>
      </c>
      <c r="T93" s="334">
        <v>6.9966509524911347E-2</v>
      </c>
      <c r="U93" s="334">
        <v>9.6975945845069189E-2</v>
      </c>
      <c r="V93" s="334">
        <v>3.7112836965233209E-2</v>
      </c>
      <c r="W93" s="334">
        <v>0.68703810542734434</v>
      </c>
      <c r="X93" s="334">
        <v>7.1996588913139065E-2</v>
      </c>
      <c r="Y93" s="334">
        <v>0.37607118929337313</v>
      </c>
      <c r="Z93" s="334">
        <v>0.37607118929337313</v>
      </c>
      <c r="AA93" s="336">
        <v>7.7367615432595571E-2</v>
      </c>
    </row>
    <row r="94" spans="1:27" s="233" customFormat="1">
      <c r="A94" s="247" t="s">
        <v>725</v>
      </c>
      <c r="B94" s="333">
        <v>52</v>
      </c>
      <c r="C94" s="334">
        <v>7.5347826086956532E-2</v>
      </c>
      <c r="D94" s="334">
        <v>0.15224062619868245</v>
      </c>
      <c r="E94" s="334">
        <v>7.9913372823051401E-2</v>
      </c>
      <c r="F94" s="334">
        <v>0.20715567011218916</v>
      </c>
      <c r="G94" s="335">
        <v>0.33438061851240469</v>
      </c>
      <c r="H94" s="335">
        <v>0.50385911874752287</v>
      </c>
      <c r="I94" s="334">
        <v>6.7867268385485541E-2</v>
      </c>
      <c r="J94" s="334">
        <v>0.20733122619958461</v>
      </c>
      <c r="K94" s="334">
        <v>5.4405999999999996E-2</v>
      </c>
      <c r="L94" s="334">
        <v>0.43255392146383476</v>
      </c>
      <c r="M94" s="334">
        <v>5.6074087738666983E-2</v>
      </c>
      <c r="N94" s="335">
        <v>0.64778820087778599</v>
      </c>
      <c r="O94" s="335">
        <v>2.5437913210545902</v>
      </c>
      <c r="P94" s="335">
        <v>10.79665716175252</v>
      </c>
      <c r="Q94" s="335">
        <v>16.773227155523529</v>
      </c>
      <c r="R94" s="335">
        <v>1.7208381882841368</v>
      </c>
      <c r="S94" s="335">
        <v>27.255534409961228</v>
      </c>
      <c r="T94" s="334">
        <v>2.1962998125860753E-2</v>
      </c>
      <c r="U94" s="334">
        <v>0.20901852133031446</v>
      </c>
      <c r="V94" s="334">
        <v>0.12907271285588304</v>
      </c>
      <c r="W94" s="334">
        <v>1.0460406720455382</v>
      </c>
      <c r="X94" s="334">
        <v>0.10552593786447673</v>
      </c>
      <c r="Y94" s="334">
        <v>0.68304753510108751</v>
      </c>
      <c r="Z94" s="334">
        <v>0.68304753510108751</v>
      </c>
      <c r="AA94" s="336">
        <v>0.15174101655641714</v>
      </c>
    </row>
    <row r="95" spans="1:27" s="233" customFormat="1">
      <c r="A95" s="247" t="s">
        <v>726</v>
      </c>
      <c r="B95" s="333">
        <v>106</v>
      </c>
      <c r="C95" s="334">
        <v>6.0592906976744194E-2</v>
      </c>
      <c r="D95" s="334">
        <v>0.2659565753619052</v>
      </c>
      <c r="E95" s="334">
        <v>6.5303803300306842E-2</v>
      </c>
      <c r="F95" s="334">
        <v>0.21134051843654689</v>
      </c>
      <c r="G95" s="335">
        <v>0.44533853048776256</v>
      </c>
      <c r="H95" s="335">
        <v>0.70459591064512661</v>
      </c>
      <c r="I95" s="334">
        <v>7.9168749769320632E-2</v>
      </c>
      <c r="J95" s="334">
        <v>0.3348934032665305</v>
      </c>
      <c r="K95" s="334">
        <v>5.7771999999999997E-2</v>
      </c>
      <c r="L95" s="334">
        <v>0.47718403777494672</v>
      </c>
      <c r="M95" s="334">
        <v>6.1964592119500256E-2</v>
      </c>
      <c r="N95" s="335">
        <v>0.29306572173948631</v>
      </c>
      <c r="O95" s="335">
        <v>4.7625581105892252</v>
      </c>
      <c r="P95" s="335">
        <v>11.893866658724095</v>
      </c>
      <c r="Q95" s="335">
        <v>17.673806782188773</v>
      </c>
      <c r="R95" s="335">
        <v>1.4597369405259084</v>
      </c>
      <c r="S95" s="335">
        <v>30.513558260479449</v>
      </c>
      <c r="T95" s="334">
        <v>0.15374932035646036</v>
      </c>
      <c r="U95" s="334">
        <v>0.25203474513167945</v>
      </c>
      <c r="V95" s="334">
        <v>0.15418273761215107</v>
      </c>
      <c r="W95" s="334">
        <v>0.98318534653200695</v>
      </c>
      <c r="X95" s="334">
        <v>0.11858840143759804</v>
      </c>
      <c r="Y95" s="334">
        <v>0.68700156281837255</v>
      </c>
      <c r="Z95" s="334">
        <v>0.58874374230461002</v>
      </c>
      <c r="AA95" s="336">
        <v>0.26631525799011146</v>
      </c>
    </row>
    <row r="96" spans="1:27" ht="14">
      <c r="A96" s="247" t="s">
        <v>798</v>
      </c>
      <c r="B96" s="333">
        <v>48156</v>
      </c>
      <c r="C96" s="334">
        <v>0.11813410514944139</v>
      </c>
      <c r="D96" s="334">
        <v>0.10560186367959247</v>
      </c>
      <c r="E96" s="334">
        <v>6.7388302060607044E-2</v>
      </c>
      <c r="F96" s="334">
        <v>0.21772338043775774</v>
      </c>
      <c r="G96" s="335">
        <v>0.83231643458010762</v>
      </c>
      <c r="H96" s="335">
        <v>1.0402864076511034</v>
      </c>
      <c r="I96" s="334">
        <v>9.806812475075713E-2</v>
      </c>
      <c r="J96" s="334">
        <v>0.42066019786733627</v>
      </c>
      <c r="K96" s="334">
        <v>5.7771999999999997E-2</v>
      </c>
      <c r="L96" s="334">
        <v>0.33984100053767125</v>
      </c>
      <c r="M96" s="334">
        <v>7.9392882638056092E-2</v>
      </c>
      <c r="N96" s="335">
        <v>0.76148506738542088</v>
      </c>
      <c r="O96" s="335">
        <v>2.8171081882790276</v>
      </c>
      <c r="P96" s="335">
        <v>14.735093271131959</v>
      </c>
      <c r="Q96" s="335">
        <v>21.711350238108253</v>
      </c>
      <c r="R96" s="335">
        <v>2.4754291759843547</v>
      </c>
      <c r="S96" s="335">
        <v>70.466856551972327</v>
      </c>
      <c r="T96" s="334">
        <v>-1.2516555572972987</v>
      </c>
      <c r="U96" s="334">
        <v>6.3475532329585152E-2</v>
      </c>
      <c r="V96" s="334">
        <v>3.7468605120472863E-2</v>
      </c>
      <c r="W96" s="334">
        <v>0.50716098765284978</v>
      </c>
      <c r="X96" s="334">
        <v>0.11858840143759804</v>
      </c>
      <c r="Y96" s="334">
        <v>0.58874374230461002</v>
      </c>
      <c r="Z96" s="334">
        <v>0.58874374230461002</v>
      </c>
      <c r="AA96" s="336">
        <v>0.10709446118649202</v>
      </c>
    </row>
    <row r="97" spans="1:27" ht="14">
      <c r="A97" s="247" t="s">
        <v>799</v>
      </c>
      <c r="B97" s="333">
        <v>43056</v>
      </c>
      <c r="C97" s="334">
        <v>0.11344441839347491</v>
      </c>
      <c r="D97" s="334">
        <v>0.10747662336283255</v>
      </c>
      <c r="E97" s="334">
        <v>0.10623042736930534</v>
      </c>
      <c r="F97" s="334">
        <v>0.22670482731644076</v>
      </c>
      <c r="G97" s="335">
        <v>0.95536367797098987</v>
      </c>
      <c r="H97" s="335">
        <v>1.0774430100117653</v>
      </c>
      <c r="I97" s="334">
        <v>0.10016004146366239</v>
      </c>
      <c r="J97" s="334">
        <v>0.43024519907503128</v>
      </c>
      <c r="K97" s="334">
        <v>5.7771999999999997E-2</v>
      </c>
      <c r="L97" s="334">
        <v>0.20602952489399917</v>
      </c>
      <c r="M97" s="334">
        <v>8.8407128862137807E-2</v>
      </c>
      <c r="N97" s="335">
        <v>1.2214305239453918</v>
      </c>
      <c r="O97" s="335">
        <v>2.3303940540541204</v>
      </c>
      <c r="P97" s="335">
        <v>13.697248529324332</v>
      </c>
      <c r="Q97" s="335">
        <v>20.826400832535036</v>
      </c>
      <c r="R97" s="335">
        <v>2.9224212623248835</v>
      </c>
      <c r="S97" s="335">
        <v>74.106269416475783</v>
      </c>
      <c r="T97" s="334">
        <v>0.11657111679948425</v>
      </c>
      <c r="U97" s="334">
        <v>6.8727451433482162E-2</v>
      </c>
      <c r="V97" s="334">
        <v>3.8685709279844362E-2</v>
      </c>
      <c r="W97" s="334">
        <v>0.54393809331569754</v>
      </c>
      <c r="X97" s="334">
        <v>0.11519474632510589</v>
      </c>
      <c r="Y97" s="334">
        <v>0.69052366942844423</v>
      </c>
      <c r="Z97" s="334">
        <v>0.69052366942844423</v>
      </c>
      <c r="AA97" s="336">
        <v>0.10913798601068816</v>
      </c>
    </row>
  </sheetData>
  <pageMargins left="0.75" right="0.75" top="1" bottom="1" header="0.5" footer="0.5"/>
  <pageSetup orientation="portrait" horizontalDpi="4294967292" verticalDpi="4294967292"/>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40"/>
  <sheetViews>
    <sheetView workbookViewId="0">
      <selection activeCell="B3" sqref="B3"/>
    </sheetView>
  </sheetViews>
  <sheetFormatPr baseColWidth="10" defaultRowHeight="13"/>
  <cols>
    <col min="1" max="1" width="34" bestFit="1" customWidth="1"/>
    <col min="2" max="2" width="16" style="153" customWidth="1"/>
    <col min="3" max="3" width="19.83203125" style="153" bestFit="1" customWidth="1"/>
    <col min="4" max="4" width="22.1640625" style="153" bestFit="1" customWidth="1"/>
    <col min="5" max="5" width="14.1640625" bestFit="1" customWidth="1"/>
  </cols>
  <sheetData>
    <row r="1" spans="1:5">
      <c r="B1" s="135" t="s">
        <v>388</v>
      </c>
      <c r="C1" s="135" t="s">
        <v>420</v>
      </c>
      <c r="D1" s="135" t="s">
        <v>421</v>
      </c>
      <c r="E1" s="135" t="s">
        <v>389</v>
      </c>
    </row>
    <row r="2" spans="1:5" ht="14">
      <c r="A2" s="54" t="s">
        <v>11</v>
      </c>
      <c r="B2" s="172">
        <v>15794.34</v>
      </c>
      <c r="C2" s="172">
        <v>7608.13</v>
      </c>
      <c r="D2" s="172">
        <v>9444.11</v>
      </c>
      <c r="E2" s="173">
        <f>B2-C2+D2</f>
        <v>17630.32</v>
      </c>
    </row>
    <row r="3" spans="1:5" ht="14">
      <c r="A3" s="54" t="s">
        <v>618</v>
      </c>
      <c r="B3" s="172">
        <v>1221.81</v>
      </c>
      <c r="C3" s="172">
        <v>581.41</v>
      </c>
      <c r="D3" s="172">
        <v>756</v>
      </c>
      <c r="E3" s="173">
        <f>B3-C3+D3</f>
        <v>1396.4</v>
      </c>
    </row>
    <row r="4" spans="1:5" ht="14">
      <c r="A4" s="54" t="s">
        <v>26</v>
      </c>
      <c r="B4" s="172">
        <v>1605.23</v>
      </c>
      <c r="C4" s="172">
        <v>908.79</v>
      </c>
      <c r="D4" s="172">
        <v>1165.5</v>
      </c>
      <c r="E4" s="173">
        <f>B4-C4+D4</f>
        <v>1861.94</v>
      </c>
    </row>
    <row r="5" spans="1:5" ht="14">
      <c r="A5" s="54" t="s">
        <v>432</v>
      </c>
      <c r="B5" s="172">
        <v>420.49</v>
      </c>
      <c r="C5" s="172">
        <v>182.82</v>
      </c>
      <c r="D5" s="172">
        <v>287.56</v>
      </c>
      <c r="E5" s="173">
        <f>B5-C5+D5</f>
        <v>525.23</v>
      </c>
    </row>
    <row r="6" spans="1:5" ht="14">
      <c r="A6" s="54" t="s">
        <v>27</v>
      </c>
      <c r="B6" s="172">
        <v>5238.7700000000004</v>
      </c>
      <c r="C6" s="172"/>
      <c r="D6" s="172">
        <v>6105.55</v>
      </c>
      <c r="E6" s="173"/>
    </row>
    <row r="7" spans="1:5" ht="14">
      <c r="A7" s="54" t="s">
        <v>28</v>
      </c>
      <c r="B7" s="172">
        <v>10360</v>
      </c>
      <c r="C7" s="172"/>
      <c r="D7" s="172">
        <v>12594.14</v>
      </c>
      <c r="E7" s="173"/>
    </row>
    <row r="8" spans="1:5" ht="14">
      <c r="A8" s="54" t="s">
        <v>239</v>
      </c>
      <c r="B8" s="172"/>
      <c r="C8" s="172"/>
      <c r="D8" s="172"/>
      <c r="E8" s="173"/>
    </row>
    <row r="9" spans="1:5" ht="14">
      <c r="A9" s="54" t="s">
        <v>240</v>
      </c>
      <c r="B9" s="172">
        <v>3794.48</v>
      </c>
      <c r="C9" s="172"/>
      <c r="D9" s="172">
        <v>5004.25</v>
      </c>
      <c r="E9" s="173"/>
    </row>
    <row r="10" spans="1:5" ht="14">
      <c r="A10" s="54" t="s">
        <v>381</v>
      </c>
      <c r="B10" s="172">
        <v>0</v>
      </c>
      <c r="C10" s="172"/>
      <c r="D10" s="172">
        <v>0</v>
      </c>
      <c r="E10" s="173"/>
    </row>
    <row r="11" spans="1:5" ht="14">
      <c r="A11" s="54" t="s">
        <v>384</v>
      </c>
      <c r="B11" s="172">
        <v>0</v>
      </c>
      <c r="C11" s="172"/>
      <c r="D11" s="172">
        <v>0</v>
      </c>
      <c r="E11" s="173"/>
    </row>
    <row r="12" spans="1:5" ht="14">
      <c r="A12" s="54" t="s">
        <v>29</v>
      </c>
      <c r="B12" s="172"/>
      <c r="C12" s="172"/>
      <c r="D12" s="172"/>
      <c r="E12" s="173"/>
    </row>
    <row r="13" spans="1:5" ht="14">
      <c r="A13" s="54" t="s">
        <v>30</v>
      </c>
      <c r="B13" s="174"/>
      <c r="C13" s="172"/>
      <c r="D13" s="172"/>
      <c r="E13" s="173"/>
    </row>
    <row r="14" spans="1:5" ht="14">
      <c r="A14" s="54" t="s">
        <v>99</v>
      </c>
      <c r="B14" s="154">
        <f>15885/61372</f>
        <v>0.25883138890699342</v>
      </c>
      <c r="C14" s="154">
        <f>6965/27030</f>
        <v>0.25767665556788755</v>
      </c>
      <c r="D14" s="154">
        <f>3941/23906</f>
        <v>0.16485401154521878</v>
      </c>
      <c r="E14" s="1"/>
    </row>
    <row r="15" spans="1:5" ht="14">
      <c r="A15" s="54" t="s">
        <v>100</v>
      </c>
      <c r="B15" s="135"/>
      <c r="C15" s="135"/>
      <c r="D15" s="135"/>
      <c r="E15" s="1"/>
    </row>
    <row r="16" spans="1:5" s="2" customFormat="1" ht="14">
      <c r="A16" s="64" t="s">
        <v>390</v>
      </c>
      <c r="B16" s="196"/>
      <c r="C16" s="196"/>
      <c r="D16" s="196"/>
      <c r="E16" s="197"/>
    </row>
    <row r="17" spans="1:5" ht="14">
      <c r="A17" s="51" t="s">
        <v>391</v>
      </c>
      <c r="B17" s="240">
        <v>172.47</v>
      </c>
      <c r="C17" s="175"/>
      <c r="D17" s="175" t="s">
        <v>93</v>
      </c>
      <c r="E17" s="176"/>
    </row>
    <row r="18" spans="1:5" ht="14">
      <c r="A18" s="51" t="s">
        <v>392</v>
      </c>
      <c r="B18" s="240">
        <v>139.4</v>
      </c>
      <c r="C18" s="397" t="s">
        <v>557</v>
      </c>
      <c r="D18" s="175" t="s">
        <v>93</v>
      </c>
      <c r="E18" s="176"/>
    </row>
    <row r="19" spans="1:5" ht="14">
      <c r="A19" s="51" t="s">
        <v>393</v>
      </c>
      <c r="B19" s="240">
        <v>145.18</v>
      </c>
      <c r="C19" s="397"/>
      <c r="D19" s="175" t="s">
        <v>93</v>
      </c>
      <c r="E19" s="176"/>
    </row>
    <row r="20" spans="1:5" ht="14">
      <c r="A20" s="51" t="s">
        <v>394</v>
      </c>
      <c r="B20" s="240">
        <v>156.53</v>
      </c>
      <c r="C20" s="397"/>
      <c r="D20" s="175" t="s">
        <v>93</v>
      </c>
      <c r="E20" s="176"/>
    </row>
    <row r="21" spans="1:5" ht="14">
      <c r="A21" s="51" t="s">
        <v>395</v>
      </c>
      <c r="B21" s="240">
        <v>151.19999999999999</v>
      </c>
      <c r="C21" s="397"/>
      <c r="D21" s="175" t="s">
        <v>93</v>
      </c>
      <c r="E21" s="176"/>
    </row>
    <row r="22" spans="1:5" ht="14">
      <c r="A22" s="51" t="s">
        <v>396</v>
      </c>
      <c r="B22" s="239">
        <v>943.63</v>
      </c>
      <c r="C22" s="397"/>
      <c r="D22" s="175" t="s">
        <v>93</v>
      </c>
      <c r="E22" s="176"/>
    </row>
    <row r="23" spans="1:5">
      <c r="B23" s="155"/>
      <c r="C23" s="397"/>
    </row>
    <row r="25" spans="1:5" ht="14">
      <c r="A25" s="51" t="s">
        <v>556</v>
      </c>
      <c r="B25" s="238">
        <v>107</v>
      </c>
    </row>
    <row r="29" spans="1:5">
      <c r="D29" s="172">
        <v>75872</v>
      </c>
    </row>
    <row r="30" spans="1:5">
      <c r="D30" s="172">
        <v>2404</v>
      </c>
    </row>
    <row r="31" spans="1:5">
      <c r="D31" s="172">
        <v>24171</v>
      </c>
    </row>
    <row r="32" spans="1:5">
      <c r="D32" s="172">
        <v>276</v>
      </c>
    </row>
    <row r="36" spans="1:5">
      <c r="A36" t="s">
        <v>612</v>
      </c>
      <c r="B36" s="153">
        <v>630.29</v>
      </c>
      <c r="C36" s="153">
        <v>286.14</v>
      </c>
      <c r="D36" s="153">
        <v>426.61</v>
      </c>
      <c r="E36">
        <f>B36-C36+D36</f>
        <v>770.76</v>
      </c>
    </row>
    <row r="37" spans="1:5">
      <c r="A37" t="s">
        <v>613</v>
      </c>
      <c r="B37" s="153">
        <v>2369.4699999999998</v>
      </c>
      <c r="C37" s="153">
        <v>1128.78</v>
      </c>
      <c r="D37" s="153">
        <v>1219.73</v>
      </c>
      <c r="E37">
        <f>B37-C37+D37</f>
        <v>2460.42</v>
      </c>
    </row>
    <row r="38" spans="1:5">
      <c r="A38" t="s">
        <v>614</v>
      </c>
      <c r="B38" s="153">
        <v>9967.5400000000009</v>
      </c>
      <c r="C38" s="153">
        <v>4703.01</v>
      </c>
      <c r="D38" s="153">
        <v>5876.21</v>
      </c>
      <c r="E38">
        <f>B38-C38+D38</f>
        <v>11140.740000000002</v>
      </c>
    </row>
    <row r="40" spans="1:5">
      <c r="A40" t="s">
        <v>615</v>
      </c>
      <c r="B40" s="153">
        <v>13043</v>
      </c>
      <c r="C40" s="153">
        <v>6020.47</v>
      </c>
      <c r="D40" s="153">
        <v>6322.85</v>
      </c>
      <c r="E40">
        <f>B40-C40+D40</f>
        <v>13345.380000000001</v>
      </c>
    </row>
  </sheetData>
  <mergeCells count="1">
    <mergeCell ref="C18:C23"/>
  </mergeCells>
  <pageMargins left="0.75" right="0.75" top="1" bottom="1" header="0.5" footer="0.5"/>
  <pageSetup orientation="landscape" horizontalDpi="4294967292" verticalDpi="4294967292"/>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16"/>
  <sheetViews>
    <sheetView workbookViewId="0">
      <selection activeCell="G1" sqref="G1:G16"/>
    </sheetView>
  </sheetViews>
  <sheetFormatPr baseColWidth="10" defaultRowHeight="13"/>
  <cols>
    <col min="1" max="1" width="6.33203125" bestFit="1" customWidth="1"/>
    <col min="2" max="2" width="16.5" bestFit="1" customWidth="1"/>
    <col min="3" max="3" width="18.33203125" bestFit="1" customWidth="1"/>
    <col min="4" max="5" width="12.33203125" bestFit="1" customWidth="1"/>
    <col min="6" max="6" width="17.6640625" bestFit="1" customWidth="1"/>
  </cols>
  <sheetData>
    <row r="1" spans="1:7" s="243" customFormat="1">
      <c r="A1" s="243" t="s">
        <v>235</v>
      </c>
      <c r="B1" s="243" t="s">
        <v>237</v>
      </c>
      <c r="C1" s="243" t="s">
        <v>434</v>
      </c>
      <c r="D1" s="243" t="s">
        <v>442</v>
      </c>
      <c r="E1" s="243" t="s">
        <v>444</v>
      </c>
      <c r="F1" s="243" t="s">
        <v>468</v>
      </c>
      <c r="G1" t="s">
        <v>225</v>
      </c>
    </row>
    <row r="2" spans="1:7">
      <c r="A2" t="s">
        <v>52</v>
      </c>
      <c r="B2" t="s">
        <v>97</v>
      </c>
      <c r="C2" t="s">
        <v>435</v>
      </c>
      <c r="D2" t="s">
        <v>443</v>
      </c>
      <c r="E2">
        <v>1</v>
      </c>
      <c r="F2" t="s">
        <v>443</v>
      </c>
      <c r="G2" t="s">
        <v>463</v>
      </c>
    </row>
    <row r="3" spans="1:7">
      <c r="A3" t="s">
        <v>46</v>
      </c>
      <c r="B3" t="s">
        <v>231</v>
      </c>
      <c r="C3" t="s">
        <v>438</v>
      </c>
      <c r="D3" t="s">
        <v>444</v>
      </c>
      <c r="E3">
        <v>2</v>
      </c>
      <c r="F3" t="s">
        <v>473</v>
      </c>
      <c r="G3" t="s">
        <v>462</v>
      </c>
    </row>
    <row r="4" spans="1:7">
      <c r="C4" t="s">
        <v>436</v>
      </c>
      <c r="D4" t="s">
        <v>445</v>
      </c>
      <c r="F4" t="s">
        <v>474</v>
      </c>
      <c r="G4" t="s">
        <v>461</v>
      </c>
    </row>
    <row r="5" spans="1:7">
      <c r="C5" t="s">
        <v>437</v>
      </c>
      <c r="F5" t="s">
        <v>475</v>
      </c>
      <c r="G5" t="s">
        <v>460</v>
      </c>
    </row>
    <row r="6" spans="1:7">
      <c r="F6" t="s">
        <v>472</v>
      </c>
      <c r="G6" t="s">
        <v>459</v>
      </c>
    </row>
    <row r="7" spans="1:7">
      <c r="G7" t="s">
        <v>458</v>
      </c>
    </row>
    <row r="8" spans="1:7">
      <c r="G8" t="s">
        <v>457</v>
      </c>
    </row>
    <row r="9" spans="1:7">
      <c r="G9" t="s">
        <v>456</v>
      </c>
    </row>
    <row r="10" spans="1:7">
      <c r="G10" t="s">
        <v>455</v>
      </c>
    </row>
    <row r="11" spans="1:7">
      <c r="G11" t="s">
        <v>454</v>
      </c>
    </row>
    <row r="12" spans="1:7">
      <c r="G12" t="s">
        <v>453</v>
      </c>
    </row>
    <row r="13" spans="1:7">
      <c r="G13" t="s">
        <v>452</v>
      </c>
    </row>
    <row r="14" spans="1:7">
      <c r="G14" t="s">
        <v>451</v>
      </c>
    </row>
    <row r="15" spans="1:7">
      <c r="G15" t="s">
        <v>450</v>
      </c>
    </row>
    <row r="16" spans="1:7">
      <c r="G16" t="s">
        <v>449</v>
      </c>
    </row>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4"/>
  <sheetViews>
    <sheetView zoomScale="125" zoomScaleNormal="125" workbookViewId="0">
      <selection activeCell="L5" sqref="L5"/>
    </sheetView>
  </sheetViews>
  <sheetFormatPr baseColWidth="10" defaultRowHeight="16"/>
  <cols>
    <col min="1" max="1" width="26.6640625" style="45" customWidth="1"/>
    <col min="2" max="2" width="14.33203125" style="45" customWidth="1"/>
    <col min="3" max="13" width="14.33203125" style="47" customWidth="1"/>
    <col min="14" max="14" width="12.6640625" bestFit="1" customWidth="1"/>
  </cols>
  <sheetData>
    <row r="1" spans="1:14">
      <c r="A1" s="42"/>
      <c r="B1" s="43" t="s">
        <v>14</v>
      </c>
      <c r="C1" s="43">
        <v>1</v>
      </c>
      <c r="D1" s="43">
        <v>2</v>
      </c>
      <c r="E1" s="43">
        <v>3</v>
      </c>
      <c r="F1" s="43">
        <v>4</v>
      </c>
      <c r="G1" s="43">
        <v>5</v>
      </c>
      <c r="H1" s="43">
        <v>6</v>
      </c>
      <c r="I1" s="43">
        <v>7</v>
      </c>
      <c r="J1" s="43">
        <v>8</v>
      </c>
      <c r="K1" s="43">
        <v>9</v>
      </c>
      <c r="L1" s="255">
        <v>10</v>
      </c>
      <c r="M1" s="304" t="s">
        <v>40</v>
      </c>
    </row>
    <row r="2" spans="1:14">
      <c r="A2" s="45" t="s">
        <v>801</v>
      </c>
      <c r="B2" s="77"/>
      <c r="C2" s="78">
        <f>C7/B7-1</f>
        <v>1.0757416729142117</v>
      </c>
      <c r="D2" s="78">
        <f t="shared" ref="D2:L2" si="0">D7/C7-1</f>
        <v>0.62189338121478555</v>
      </c>
      <c r="E2" s="78">
        <f t="shared" si="0"/>
        <v>0.35787421614137949</v>
      </c>
      <c r="F2" s="78">
        <f t="shared" si="0"/>
        <v>0.1976660716548202</v>
      </c>
      <c r="G2" s="78">
        <f t="shared" si="0"/>
        <v>0.16504272462332037</v>
      </c>
      <c r="H2" s="78">
        <f t="shared" si="0"/>
        <v>0.5051949360287451</v>
      </c>
      <c r="I2" s="78">
        <f t="shared" si="0"/>
        <v>0.38045119491691803</v>
      </c>
      <c r="J2" s="78">
        <f t="shared" si="0"/>
        <v>0.26261298359434915</v>
      </c>
      <c r="K2" s="78">
        <f t="shared" si="0"/>
        <v>0.17199360047054402</v>
      </c>
      <c r="L2" s="78">
        <f t="shared" si="0"/>
        <v>0.1467530201542826</v>
      </c>
      <c r="M2" s="305">
        <f>IF('Input sheet'!B68="Yes",'Input sheet'!B69,'Input sheet'!B41)</f>
        <v>4.5600000000000002E-2</v>
      </c>
    </row>
    <row r="3" spans="1:14" ht="15" customHeight="1">
      <c r="A3" s="45" t="s">
        <v>733</v>
      </c>
      <c r="B3" s="344">
        <f>'Input sheet'!B8</f>
        <v>4086</v>
      </c>
      <c r="C3" s="345">
        <f>B3+($G$3-B3)*0.2</f>
        <v>6480.2666666666664</v>
      </c>
      <c r="D3" s="345">
        <f>C3+($G$3-C3)*0.3</f>
        <v>9353.3866666666654</v>
      </c>
      <c r="E3" s="345">
        <f>D3+($G$3-D3)*0.4</f>
        <v>12034.965333333332</v>
      </c>
      <c r="F3" s="345">
        <f>E3+($G$3-E3)*0.5</f>
        <v>14046.149333333331</v>
      </c>
      <c r="G3" s="345">
        <f>B3+($L$3-B3)*(1/3)</f>
        <v>16057.333333333332</v>
      </c>
      <c r="H3" s="345">
        <f>G3+($L$3-G3)*0.2</f>
        <v>20845.866666666665</v>
      </c>
      <c r="I3" s="345">
        <f>H3+($L$3-H3)*0.3</f>
        <v>26592.106666666667</v>
      </c>
      <c r="J3" s="345">
        <f>I3+($L$3-I3)*0.4</f>
        <v>31955.263999999999</v>
      </c>
      <c r="K3" s="345">
        <f>J3+($L$3-J3)*0.5</f>
        <v>35977.631999999998</v>
      </c>
      <c r="L3" s="346">
        <f>'Input sheet'!B26</f>
        <v>40000</v>
      </c>
      <c r="M3" s="308">
        <f>L3*(1+$M$2)</f>
        <v>41824</v>
      </c>
    </row>
    <row r="4" spans="1:14" ht="15" customHeight="1">
      <c r="A4" s="45" t="s">
        <v>734</v>
      </c>
      <c r="B4" s="344">
        <f>'Input sheet'!B9</f>
        <v>11387</v>
      </c>
      <c r="C4" s="345">
        <f>B4+($G$4-B4)*0.2</f>
        <v>18627.866666666665</v>
      </c>
      <c r="D4" s="345">
        <f>C4+($G$4-C4)*0.3</f>
        <v>27316.906666666662</v>
      </c>
      <c r="E4" s="345">
        <f>D4+($G$4-D4)*0.4</f>
        <v>35426.677333333326</v>
      </c>
      <c r="F4" s="345">
        <f>E4+($G$4-E4)*0.5</f>
        <v>41509.005333333327</v>
      </c>
      <c r="G4" s="345">
        <f>B4+($L$4-B4)*(1/3)</f>
        <v>47591.333333333328</v>
      </c>
      <c r="H4" s="345">
        <f>G4+($L$4-G4)*0.2</f>
        <v>62073.066666666666</v>
      </c>
      <c r="I4" s="345">
        <f>H4+($L$4-H4)*0.3</f>
        <v>79451.146666666667</v>
      </c>
      <c r="J4" s="345">
        <f>I4+($L$4-I4)*0.4</f>
        <v>95670.687999999995</v>
      </c>
      <c r="K4" s="345">
        <f>J4+($L$4-J4)*0.5</f>
        <v>107835.344</v>
      </c>
      <c r="L4" s="346">
        <f>'Input sheet'!B27</f>
        <v>120000</v>
      </c>
      <c r="M4" s="308">
        <f t="shared" ref="M4:M6" si="1">L4*(1+$M$2)</f>
        <v>125472.00000000001</v>
      </c>
    </row>
    <row r="5" spans="1:14" ht="15" customHeight="1">
      <c r="A5" s="45" t="s">
        <v>735</v>
      </c>
      <c r="B5" s="344">
        <f>'Input sheet'!B10</f>
        <v>3201</v>
      </c>
      <c r="C5" s="345">
        <f>B5+($G$5-B5)*0.2</f>
        <v>13654.266666666666</v>
      </c>
      <c r="D5" s="345">
        <f>C5+($G$5-C5)*0.3</f>
        <v>26198.186666666668</v>
      </c>
      <c r="E5" s="345">
        <f>D5+($G$5-D5)*0.4</f>
        <v>37905.845333333331</v>
      </c>
      <c r="F5" s="345">
        <f>E5+($G$5-E5)*0.5</f>
        <v>46686.58933333333</v>
      </c>
      <c r="G5" s="345">
        <f>B5+($L$5-B5)*(1/3)</f>
        <v>55467.333333333328</v>
      </c>
      <c r="H5" s="345">
        <f>G5+($L$5-G5)*0.2</f>
        <v>76373.866666666669</v>
      </c>
      <c r="I5" s="345">
        <f>H5+($L$5-H5)*0.3</f>
        <v>101461.70666666667</v>
      </c>
      <c r="J5" s="345">
        <f>I5+($L$5-I5)*0.4</f>
        <v>124877.024</v>
      </c>
      <c r="K5" s="345">
        <f>J5+($L$5-J5)*0.5</f>
        <v>142438.51199999999</v>
      </c>
      <c r="L5" s="346">
        <f>'Input sheet'!B28</f>
        <v>160000</v>
      </c>
      <c r="M5" s="308">
        <f t="shared" si="1"/>
        <v>167296</v>
      </c>
    </row>
    <row r="6" spans="1:14" ht="15" customHeight="1" thickBot="1">
      <c r="A6" s="45" t="s">
        <v>736</v>
      </c>
      <c r="B6" s="347">
        <v>0</v>
      </c>
      <c r="C6" s="348">
        <f>IF(C1&gt;5,(C1-5)*($L$6-B6)/(5),0)</f>
        <v>0</v>
      </c>
      <c r="D6" s="348">
        <f t="shared" ref="D6:G6" si="2">IF(D1&gt;5,(D1-5)*($L$6-C6)/(5),0)</f>
        <v>0</v>
      </c>
      <c r="E6" s="348">
        <f t="shared" si="2"/>
        <v>0</v>
      </c>
      <c r="F6" s="348">
        <f t="shared" si="2"/>
        <v>0</v>
      </c>
      <c r="G6" s="348">
        <f t="shared" si="2"/>
        <v>0</v>
      </c>
      <c r="H6" s="348">
        <f>IF(H1&gt;5,(H1-5)*($L$6-$G$6)/(5),0)</f>
        <v>20000</v>
      </c>
      <c r="I6" s="348">
        <f t="shared" ref="I6:K6" si="3">IF(I1&gt;5,(I1-5)*($L$6-$G$6)/(5),0)</f>
        <v>40000</v>
      </c>
      <c r="J6" s="348">
        <f t="shared" si="3"/>
        <v>60000</v>
      </c>
      <c r="K6" s="348">
        <f t="shared" si="3"/>
        <v>80000</v>
      </c>
      <c r="L6" s="346">
        <f>'Input sheet'!B29</f>
        <v>100000</v>
      </c>
      <c r="M6" s="308">
        <f t="shared" si="1"/>
        <v>104560.00000000001</v>
      </c>
    </row>
    <row r="7" spans="1:14" s="261" customFormat="1" ht="15" customHeight="1" thickBot="1">
      <c r="A7" s="266" t="s">
        <v>728</v>
      </c>
      <c r="B7" s="349">
        <f>SUM(B3:B6)</f>
        <v>18674</v>
      </c>
      <c r="C7" s="349">
        <f t="shared" ref="C7:M7" si="4">SUM(C3:C6)</f>
        <v>38762.399999999994</v>
      </c>
      <c r="D7" s="349">
        <f t="shared" si="4"/>
        <v>62868.479999999996</v>
      </c>
      <c r="E7" s="349">
        <f t="shared" si="4"/>
        <v>85367.487999999983</v>
      </c>
      <c r="F7" s="349">
        <f t="shared" si="4"/>
        <v>102241.74399999998</v>
      </c>
      <c r="G7" s="349">
        <f t="shared" si="4"/>
        <v>119115.99999999999</v>
      </c>
      <c r="H7" s="349">
        <f t="shared" si="4"/>
        <v>179292.79999999999</v>
      </c>
      <c r="I7" s="349">
        <f t="shared" si="4"/>
        <v>247504.96</v>
      </c>
      <c r="J7" s="349">
        <f t="shared" si="4"/>
        <v>312502.97600000002</v>
      </c>
      <c r="K7" s="349">
        <f t="shared" si="4"/>
        <v>366251.48800000001</v>
      </c>
      <c r="L7" s="350">
        <f>SUM(L3:L6)</f>
        <v>420000</v>
      </c>
      <c r="M7" s="309">
        <f t="shared" si="4"/>
        <v>439152</v>
      </c>
    </row>
    <row r="8" spans="1:14" ht="15" customHeight="1">
      <c r="A8" s="45" t="s">
        <v>737</v>
      </c>
      <c r="B8" s="259">
        <v>0.08</v>
      </c>
      <c r="C8" s="260">
        <f>IF(C1&gt;'Input sheet'!$B$34,'Input sheet'!$B$30,'Input sheet'!$B$30-(('Input sheet'!$B$30-$B$8)/'Input sheet'!$B$34)*('Input sheet'!$B$34-C1))</f>
        <v>0.11700000000000005</v>
      </c>
      <c r="D8" s="260">
        <f>IF(D1&gt;'Input sheet'!$B$34,'Input sheet'!$B$30,'Input sheet'!$B$30-(('Input sheet'!$B$30-$B$8)/'Input sheet'!$B$34)*('Input sheet'!$B$34-D1))</f>
        <v>0.15400000000000003</v>
      </c>
      <c r="E8" s="260">
        <f>IF(E1&gt;'Input sheet'!$B$34,'Input sheet'!$B$30,'Input sheet'!$B$30-(('Input sheet'!$B$30-$B$8)/'Input sheet'!$B$34)*('Input sheet'!$B$34-E1))</f>
        <v>0.191</v>
      </c>
      <c r="F8" s="260">
        <f>IF(F1&gt;'Input sheet'!$B$34,'Input sheet'!$B$30,'Input sheet'!$B$30-(('Input sheet'!$B$30-$B$8)/'Input sheet'!$B$34)*('Input sheet'!$B$34-F1))</f>
        <v>0.22800000000000004</v>
      </c>
      <c r="G8" s="260">
        <f>IF(G1&gt;'Input sheet'!$B$34,'Input sheet'!$B$30,'Input sheet'!$B$30-(('Input sheet'!$B$30-$B$8)/'Input sheet'!$B$34)*('Input sheet'!$B$34-G1))</f>
        <v>0.26500000000000001</v>
      </c>
      <c r="H8" s="260">
        <f>IF(H1&gt;'Input sheet'!$B$34,'Input sheet'!$B$30,'Input sheet'!$B$30-(('Input sheet'!$B$30-$B$8)/'Input sheet'!$B$34)*('Input sheet'!$B$34-H1))</f>
        <v>0.30200000000000005</v>
      </c>
      <c r="I8" s="260">
        <f>IF(I1&gt;'Input sheet'!$B$34,'Input sheet'!$B$30,'Input sheet'!$B$30-(('Input sheet'!$B$30-$B$8)/'Input sheet'!$B$34)*('Input sheet'!$B$34-I1))</f>
        <v>0.33900000000000002</v>
      </c>
      <c r="J8" s="260">
        <f>IF(J1&gt;'Input sheet'!$B$34,'Input sheet'!$B$30,'Input sheet'!$B$30-(('Input sheet'!$B$30-$B$8)/'Input sheet'!$B$34)*('Input sheet'!$B$34-J1))</f>
        <v>0.376</v>
      </c>
      <c r="K8" s="260">
        <f>IF(K1&gt;'Input sheet'!$B$34,'Input sheet'!$B$30,'Input sheet'!$B$30-(('Input sheet'!$B$30-$B$8)/'Input sheet'!$B$34)*('Input sheet'!$B$34-K1))</f>
        <v>0.41300000000000003</v>
      </c>
      <c r="L8" s="297">
        <f>IF(L1&gt;'Input sheet'!$B$34,'Input sheet'!$B$30,'Input sheet'!$B$30-(('Input sheet'!$B$30-$B$8)/'Input sheet'!$B$34)*('Input sheet'!$B$34-L1))</f>
        <v>0.45</v>
      </c>
      <c r="M8" s="337">
        <f>L8</f>
        <v>0.45</v>
      </c>
    </row>
    <row r="9" spans="1:14" ht="15" customHeight="1">
      <c r="A9" s="45" t="s">
        <v>738</v>
      </c>
      <c r="B9" s="80">
        <v>0.1</v>
      </c>
      <c r="C9" s="78">
        <f>IF(C1&gt;'Input sheet'!$B$34,'Input sheet'!$B$31,'Input sheet'!$B$31-(('Input sheet'!$B$31-$B$9)/'Input sheet'!$B$34)*('Input sheet'!$B$34-C1))</f>
        <v>0.14999999999999997</v>
      </c>
      <c r="D9" s="78">
        <f>IF(D1&gt;'Input sheet'!$B$34,'Input sheet'!$B$31,'Input sheet'!$B$31-(('Input sheet'!$B$31-$B$9)/'Input sheet'!$B$34)*('Input sheet'!$B$34-D1))</f>
        <v>0.19999999999999996</v>
      </c>
      <c r="E9" s="78">
        <f>IF(E1&gt;'Input sheet'!$B$34,'Input sheet'!$B$31,'Input sheet'!$B$31-(('Input sheet'!$B$31-$B$9)/'Input sheet'!$B$34)*('Input sheet'!$B$34-E1))</f>
        <v>0.24999999999999994</v>
      </c>
      <c r="F9" s="78">
        <f>IF(F1&gt;'Input sheet'!$B$34,'Input sheet'!$B$31,'Input sheet'!$B$31-(('Input sheet'!$B$31-$B$9)/'Input sheet'!$B$34)*('Input sheet'!$B$34-F1))</f>
        <v>0.29999999999999993</v>
      </c>
      <c r="G9" s="78">
        <f>IF(G1&gt;'Input sheet'!$B$34,'Input sheet'!$B$31,'Input sheet'!$B$31-(('Input sheet'!$B$31-$B$9)/'Input sheet'!$B$34)*('Input sheet'!$B$34-G1))</f>
        <v>0.35</v>
      </c>
      <c r="H9" s="78">
        <f>IF(H1&gt;'Input sheet'!$B$34,'Input sheet'!$B$31,'Input sheet'!$B$31-(('Input sheet'!$B$31-$B$9)/'Input sheet'!$B$34)*('Input sheet'!$B$34-H1))</f>
        <v>0.39999999999999997</v>
      </c>
      <c r="I9" s="78">
        <f>IF(I1&gt;'Input sheet'!$B$34,'Input sheet'!$B$31,'Input sheet'!$B$31-(('Input sheet'!$B$31-$B$9)/'Input sheet'!$B$34)*('Input sheet'!$B$34-I1))</f>
        <v>0.44999999999999996</v>
      </c>
      <c r="J9" s="78">
        <f>IF(J1&gt;'Input sheet'!$B$34,'Input sheet'!$B$31,'Input sheet'!$B$31-(('Input sheet'!$B$31-$B$9)/'Input sheet'!$B$34)*('Input sheet'!$B$34-J1))</f>
        <v>0.5</v>
      </c>
      <c r="K9" s="78">
        <f>IF(K1&gt;'Input sheet'!$B$34,'Input sheet'!$B$31,'Input sheet'!$B$31-(('Input sheet'!$B$31-$B$9)/'Input sheet'!$B$34)*('Input sheet'!$B$34-K1))</f>
        <v>0.54999999999999993</v>
      </c>
      <c r="L9" s="296">
        <f>'Input sheet'!B31</f>
        <v>0.6</v>
      </c>
      <c r="M9" s="337">
        <f t="shared" ref="M9:M11" si="5">L9</f>
        <v>0.6</v>
      </c>
    </row>
    <row r="10" spans="1:14" ht="15" customHeight="1">
      <c r="A10" s="45" t="s">
        <v>739</v>
      </c>
      <c r="B10" s="80">
        <v>-0.05</v>
      </c>
      <c r="C10" s="78">
        <f>IF(C1&gt;'Input sheet'!$B$34,'Input sheet'!$B$32,'Input sheet'!$B$32-(('Input sheet'!$B$32-$B$10)/'Input sheet'!$B$34)*('Input sheet'!$B$34-C1))</f>
        <v>-2.0000000000000018E-2</v>
      </c>
      <c r="D10" s="78">
        <f>IF(D1&gt;'Input sheet'!$B$34,'Input sheet'!$B$32,'Input sheet'!$B$32-(('Input sheet'!$B$32-$B$10)/'Input sheet'!$B$34)*('Input sheet'!$B$34-D1))</f>
        <v>1.0000000000000009E-2</v>
      </c>
      <c r="E10" s="78">
        <f>IF(E1&gt;'Input sheet'!$B$34,'Input sheet'!$B$32,'Input sheet'!$B$32-(('Input sheet'!$B$32-$B$10)/'Input sheet'!$B$34)*('Input sheet'!$B$34-E1))</f>
        <v>4.0000000000000008E-2</v>
      </c>
      <c r="F10" s="78">
        <f>IF(F1&gt;'Input sheet'!$B$34,'Input sheet'!$B$32,'Input sheet'!$B$32-(('Input sheet'!$B$32-$B$10)/'Input sheet'!$B$34)*('Input sheet'!$B$34-F1))</f>
        <v>7.0000000000000007E-2</v>
      </c>
      <c r="G10" s="78">
        <f>IF(G1&gt;'Input sheet'!$B$34,'Input sheet'!$B$32,'Input sheet'!$B$32-(('Input sheet'!$B$32-$B$10)/'Input sheet'!$B$34)*('Input sheet'!$B$34-G1))</f>
        <v>0.1</v>
      </c>
      <c r="H10" s="78">
        <f>IF(H1&gt;'Input sheet'!$B$34,'Input sheet'!$B$32,'Input sheet'!$B$32-(('Input sheet'!$B$32-$B$10)/'Input sheet'!$B$34)*('Input sheet'!$B$34-H1))</f>
        <v>0.13</v>
      </c>
      <c r="I10" s="78">
        <f>IF(I1&gt;'Input sheet'!$B$34,'Input sheet'!$B$32,'Input sheet'!$B$32-(('Input sheet'!$B$32-$B$10)/'Input sheet'!$B$34)*('Input sheet'!$B$34-I1))</f>
        <v>0.16</v>
      </c>
      <c r="J10" s="78">
        <f>IF(J1&gt;'Input sheet'!$B$34,'Input sheet'!$B$32,'Input sheet'!$B$32-(('Input sheet'!$B$32-$B$10)/'Input sheet'!$B$34)*('Input sheet'!$B$34-J1))</f>
        <v>0.19</v>
      </c>
      <c r="K10" s="78">
        <f>IF(K1&gt;'Input sheet'!$B$34,'Input sheet'!$B$32,'Input sheet'!$B$32-(('Input sheet'!$B$32-$B$10)/'Input sheet'!$B$34)*('Input sheet'!$B$34-K1))</f>
        <v>0.22</v>
      </c>
      <c r="L10" s="296">
        <f>'Input sheet'!B32</f>
        <v>0.25</v>
      </c>
      <c r="M10" s="337">
        <f t="shared" si="5"/>
        <v>0.25</v>
      </c>
    </row>
    <row r="11" spans="1:14" ht="15" customHeight="1">
      <c r="A11" s="45" t="s">
        <v>740</v>
      </c>
      <c r="B11" s="80">
        <v>0</v>
      </c>
      <c r="C11" s="78">
        <f>IF(C1&gt;'Input sheet'!$B$34,'Input sheet'!$B$33,'Input sheet'!$B$33-(('Input sheet'!$B$33-$B$11)/'Input sheet'!$B$34)*('Input sheet'!$B$34-C1))</f>
        <v>2.9999999999999971E-2</v>
      </c>
      <c r="D11" s="78">
        <f>IF(D1&gt;'Input sheet'!$B$34,'Input sheet'!$B$33,'Input sheet'!$B$33-(('Input sheet'!$B$33-$B$11)/'Input sheet'!$B$34)*('Input sheet'!$B$34-D1))</f>
        <v>0.06</v>
      </c>
      <c r="E11" s="78">
        <f>IF(E1&gt;'Input sheet'!$B$34,'Input sheet'!$B$33,'Input sheet'!$B$33-(('Input sheet'!$B$33-$B$11)/'Input sheet'!$B$34)*('Input sheet'!$B$34-E1))</f>
        <v>0.09</v>
      </c>
      <c r="F11" s="78">
        <f>IF(F1&gt;'Input sheet'!$B$34,'Input sheet'!$B$33,'Input sheet'!$B$33-(('Input sheet'!$B$33-$B$11)/'Input sheet'!$B$34)*('Input sheet'!$B$34-F1))</f>
        <v>0.12</v>
      </c>
      <c r="G11" s="78">
        <f>IF(G1&gt;'Input sheet'!$B$34,'Input sheet'!$B$33,'Input sheet'!$B$33-(('Input sheet'!$B$33-$B$11)/'Input sheet'!$B$34)*('Input sheet'!$B$34-G1))</f>
        <v>0.15</v>
      </c>
      <c r="H11" s="78">
        <f>IF(H1&gt;'Input sheet'!$B$34,'Input sheet'!$B$33,'Input sheet'!$B$33-(('Input sheet'!$B$33-$B$11)/'Input sheet'!$B$34)*('Input sheet'!$B$34-H1))</f>
        <v>0.18</v>
      </c>
      <c r="I11" s="78">
        <f>IF(I1&gt;'Input sheet'!$B$34,'Input sheet'!$B$33,'Input sheet'!$B$33-(('Input sheet'!$B$33-$B$11)/'Input sheet'!$B$34)*('Input sheet'!$B$34-I1))</f>
        <v>0.21</v>
      </c>
      <c r="J11" s="78">
        <f>IF(J1&gt;'Input sheet'!$B$34,'Input sheet'!$B$33,'Input sheet'!$B$33-(('Input sheet'!$B$33-$B$11)/'Input sheet'!$B$34)*('Input sheet'!$B$34-J1))</f>
        <v>0.24</v>
      </c>
      <c r="K11" s="78">
        <f>IF(K1&gt;'Input sheet'!$B$34,'Input sheet'!$B$33,'Input sheet'!$B$33-(('Input sheet'!$B$33-$B$11)/'Input sheet'!$B$34)*('Input sheet'!$B$34-K1))</f>
        <v>0.27</v>
      </c>
      <c r="L11" s="296">
        <f>'Input sheet'!B33</f>
        <v>0.3</v>
      </c>
      <c r="M11" s="337">
        <f t="shared" si="5"/>
        <v>0.3</v>
      </c>
    </row>
    <row r="12" spans="1:14" ht="15" customHeight="1">
      <c r="A12" s="264" t="s">
        <v>23</v>
      </c>
      <c r="B12" s="265">
        <f>IF('Input sheet'!B16="Yes",IF('Input sheet'!B15="Yes",'Input sheet'!B11+'Operating lease converter'!F32+'R&amp; D converter'!D39,'Input sheet'!B11+'Operating lease converter'!F32),IF('Input sheet'!B15="Yes",'Input sheet'!B11+'R&amp; D converter'!D39,'Input sheet'!B11))</f>
        <v>4020.2</v>
      </c>
      <c r="C12" s="262">
        <f>C8*C3+C9*C4+C10*C5+C11*C6</f>
        <v>3279.2858666666657</v>
      </c>
      <c r="D12" s="262">
        <f t="shared" ref="D12:M12" si="6">D8*D3+D9*D4+D10*D5+D11*D6</f>
        <v>7165.7847466666644</v>
      </c>
      <c r="E12" s="262">
        <f t="shared" si="6"/>
        <v>12671.581525333329</v>
      </c>
      <c r="F12" s="262">
        <f t="shared" si="6"/>
        <v>18923.284901333329</v>
      </c>
      <c r="G12" s="262">
        <f t="shared" si="6"/>
        <v>26458.89333333333</v>
      </c>
      <c r="H12" s="262">
        <f t="shared" si="6"/>
        <v>44653.28106666667</v>
      </c>
      <c r="I12" s="262">
        <f t="shared" si="6"/>
        <v>69401.613226666668</v>
      </c>
      <c r="J12" s="262">
        <f t="shared" si="6"/>
        <v>97977.157823999994</v>
      </c>
      <c r="K12" s="262">
        <f t="shared" si="6"/>
        <v>127104.67385599998</v>
      </c>
      <c r="L12" s="298">
        <f t="shared" si="6"/>
        <v>160000</v>
      </c>
      <c r="M12" s="308">
        <f t="shared" si="6"/>
        <v>167296</v>
      </c>
      <c r="N12" s="303">
        <f>M12-B12</f>
        <v>163275.79999999999</v>
      </c>
    </row>
    <row r="13" spans="1:14" ht="15" customHeight="1">
      <c r="A13" s="45" t="s">
        <v>135</v>
      </c>
      <c r="B13" s="81">
        <f>'Input sheet'!B23</f>
        <v>0.1</v>
      </c>
      <c r="C13" s="82">
        <f>B13</f>
        <v>0.1</v>
      </c>
      <c r="D13" s="82">
        <f>C13</f>
        <v>0.1</v>
      </c>
      <c r="E13" s="82">
        <f>D13</f>
        <v>0.1</v>
      </c>
      <c r="F13" s="82">
        <f>E13</f>
        <v>0.1</v>
      </c>
      <c r="G13" s="82">
        <f>F13</f>
        <v>0.1</v>
      </c>
      <c r="H13" s="82">
        <f>G13+($M$13-$G$13)/5</f>
        <v>0.13</v>
      </c>
      <c r="I13" s="82">
        <f>H13+($M$13-$G$13)/5</f>
        <v>0.16</v>
      </c>
      <c r="J13" s="82">
        <f>I13+($M$13-$G$13)/5</f>
        <v>0.19</v>
      </c>
      <c r="K13" s="82">
        <f>J13+($M$13-$G$13)/5</f>
        <v>0.22</v>
      </c>
      <c r="L13" s="299">
        <f>K13+($M$13-$G$13)/5</f>
        <v>0.25</v>
      </c>
      <c r="M13" s="308">
        <f>IF('Input sheet'!B63="Yes",'Input sheet'!B23,'Input sheet'!B24)</f>
        <v>0.25</v>
      </c>
    </row>
    <row r="14" spans="1:14" ht="15" customHeight="1">
      <c r="A14" s="45" t="s">
        <v>12</v>
      </c>
      <c r="B14" s="344">
        <f>IF(B12&gt;0,B12*(1-B13),B12)</f>
        <v>3618.18</v>
      </c>
      <c r="C14" s="345">
        <f>IF(C12&gt;0,IF(C12&lt;B21,C12,C12-(C12-B21)*C13),C12)</f>
        <v>2951.3572799999993</v>
      </c>
      <c r="D14" s="345">
        <f t="shared" ref="D14:L14" si="7">IF(D12&gt;0,IF(D12&lt;C21,D12,D12-(D12-C21)*D13),D12)</f>
        <v>6449.2062719999976</v>
      </c>
      <c r="E14" s="345">
        <f t="shared" si="7"/>
        <v>11404.423372799996</v>
      </c>
      <c r="F14" s="345">
        <f t="shared" si="7"/>
        <v>17030.956411199997</v>
      </c>
      <c r="G14" s="345">
        <f t="shared" si="7"/>
        <v>23813.003999999997</v>
      </c>
      <c r="H14" s="345">
        <f t="shared" si="7"/>
        <v>38848.354528000003</v>
      </c>
      <c r="I14" s="345">
        <f t="shared" si="7"/>
        <v>58297.3551104</v>
      </c>
      <c r="J14" s="345">
        <f t="shared" si="7"/>
        <v>79361.497837439994</v>
      </c>
      <c r="K14" s="345">
        <f t="shared" si="7"/>
        <v>99141.64560767998</v>
      </c>
      <c r="L14" s="346">
        <f t="shared" si="7"/>
        <v>120000</v>
      </c>
      <c r="M14" s="308">
        <f>M12*(1-M13)</f>
        <v>125472</v>
      </c>
    </row>
    <row r="15" spans="1:14" ht="15" customHeight="1">
      <c r="A15" s="45" t="s">
        <v>755</v>
      </c>
      <c r="B15" s="344"/>
      <c r="C15" s="345">
        <f>(C3-B3)/C49</f>
        <v>798.08888888888885</v>
      </c>
      <c r="D15" s="345">
        <f>(D3-C3)/D49</f>
        <v>957.70666666666637</v>
      </c>
      <c r="E15" s="345">
        <f t="shared" ref="E15:L15" si="8">(E3-D3)/E49</f>
        <v>893.8595555555554</v>
      </c>
      <c r="F15" s="345">
        <f t="shared" si="8"/>
        <v>670.39466666666647</v>
      </c>
      <c r="G15" s="345">
        <f t="shared" si="8"/>
        <v>670.39466666666704</v>
      </c>
      <c r="H15" s="345">
        <f t="shared" si="8"/>
        <v>1197.1333333333332</v>
      </c>
      <c r="I15" s="345">
        <f t="shared" si="8"/>
        <v>1436.5600000000004</v>
      </c>
      <c r="J15" s="345">
        <f t="shared" si="8"/>
        <v>1340.7893333333332</v>
      </c>
      <c r="K15" s="345">
        <f t="shared" si="8"/>
        <v>1005.5919999999996</v>
      </c>
      <c r="L15" s="345">
        <f t="shared" si="8"/>
        <v>1005.5920000000006</v>
      </c>
      <c r="M15" s="310"/>
      <c r="N15" s="351"/>
    </row>
    <row r="16" spans="1:14" ht="15" customHeight="1">
      <c r="A16" s="45" t="s">
        <v>756</v>
      </c>
      <c r="B16" s="344"/>
      <c r="C16" s="345">
        <f>(C4-B4)/C50</f>
        <v>2413.6222222222218</v>
      </c>
      <c r="D16" s="345">
        <f t="shared" ref="D16:L17" si="9">(D4-C4)/D50</f>
        <v>2896.3466666666659</v>
      </c>
      <c r="E16" s="345">
        <f t="shared" si="9"/>
        <v>2703.2568888888877</v>
      </c>
      <c r="F16" s="345">
        <f t="shared" si="9"/>
        <v>2027.442666666667</v>
      </c>
      <c r="G16" s="345">
        <f t="shared" si="9"/>
        <v>2027.442666666667</v>
      </c>
      <c r="H16" s="345">
        <f t="shared" si="9"/>
        <v>2896.3466666666673</v>
      </c>
      <c r="I16" s="345">
        <f t="shared" si="9"/>
        <v>3475.6160000000004</v>
      </c>
      <c r="J16" s="345">
        <f t="shared" si="9"/>
        <v>3243.9082666666654</v>
      </c>
      <c r="K16" s="345">
        <f t="shared" si="9"/>
        <v>2432.9312000000004</v>
      </c>
      <c r="L16" s="345">
        <f t="shared" si="9"/>
        <v>2432.9312000000004</v>
      </c>
      <c r="M16" s="310"/>
      <c r="N16" s="352"/>
    </row>
    <row r="17" spans="1:14" ht="15" customHeight="1">
      <c r="A17" s="45" t="s">
        <v>757</v>
      </c>
      <c r="B17" s="344"/>
      <c r="C17" s="345">
        <f t="shared" ref="C17:L18" si="10">(C5-B5)/C51</f>
        <v>6968.844444444444</v>
      </c>
      <c r="D17" s="345">
        <f t="shared" si="9"/>
        <v>8362.6133333333346</v>
      </c>
      <c r="E17" s="345">
        <f t="shared" si="9"/>
        <v>7805.1057777777751</v>
      </c>
      <c r="F17" s="345">
        <f t="shared" si="9"/>
        <v>5853.8293333333322</v>
      </c>
      <c r="G17" s="345">
        <f t="shared" si="9"/>
        <v>5853.8293333333322</v>
      </c>
      <c r="H17" s="345">
        <f t="shared" si="9"/>
        <v>8362.6133333333364</v>
      </c>
      <c r="I17" s="345">
        <f t="shared" si="9"/>
        <v>10035.135999999999</v>
      </c>
      <c r="J17" s="345">
        <f t="shared" si="9"/>
        <v>9366.1269333333366</v>
      </c>
      <c r="K17" s="345">
        <f t="shared" si="9"/>
        <v>7024.5951999999934</v>
      </c>
      <c r="L17" s="345">
        <f t="shared" si="9"/>
        <v>7024.5952000000052</v>
      </c>
      <c r="M17" s="310"/>
      <c r="N17" s="352"/>
    </row>
    <row r="18" spans="1:14" ht="15" customHeight="1">
      <c r="A18" s="45" t="s">
        <v>758</v>
      </c>
      <c r="B18" s="347"/>
      <c r="C18" s="348">
        <f t="shared" si="10"/>
        <v>0</v>
      </c>
      <c r="D18" s="348">
        <f t="shared" si="10"/>
        <v>0</v>
      </c>
      <c r="E18" s="348">
        <f t="shared" si="10"/>
        <v>0</v>
      </c>
      <c r="F18" s="348">
        <f t="shared" si="10"/>
        <v>0</v>
      </c>
      <c r="G18" s="348">
        <f t="shared" si="10"/>
        <v>0</v>
      </c>
      <c r="H18" s="348">
        <f t="shared" si="10"/>
        <v>4000</v>
      </c>
      <c r="I18" s="348">
        <f t="shared" si="10"/>
        <v>4000</v>
      </c>
      <c r="J18" s="348">
        <f t="shared" si="10"/>
        <v>4000</v>
      </c>
      <c r="K18" s="348">
        <f t="shared" si="10"/>
        <v>4000</v>
      </c>
      <c r="L18" s="348">
        <f t="shared" si="10"/>
        <v>4000</v>
      </c>
      <c r="M18" s="338"/>
      <c r="N18" s="352"/>
    </row>
    <row r="19" spans="1:14" ht="15" customHeight="1">
      <c r="A19" s="343" t="s">
        <v>754</v>
      </c>
      <c r="B19" s="309"/>
      <c r="C19" s="308">
        <f>SUM(C15:C18)</f>
        <v>10180.555555555555</v>
      </c>
      <c r="D19" s="308">
        <f t="shared" ref="D19:L19" si="11">SUM(D15:D18)</f>
        <v>12216.666666666668</v>
      </c>
      <c r="E19" s="308">
        <f t="shared" si="11"/>
        <v>11402.222222222219</v>
      </c>
      <c r="F19" s="308">
        <f t="shared" si="11"/>
        <v>8551.6666666666661</v>
      </c>
      <c r="G19" s="308">
        <f t="shared" si="11"/>
        <v>8551.6666666666661</v>
      </c>
      <c r="H19" s="308">
        <f t="shared" si="11"/>
        <v>16456.093333333338</v>
      </c>
      <c r="I19" s="308">
        <f t="shared" si="11"/>
        <v>18947.311999999998</v>
      </c>
      <c r="J19" s="308">
        <f t="shared" si="11"/>
        <v>17950.824533333336</v>
      </c>
      <c r="K19" s="308">
        <f t="shared" si="11"/>
        <v>14463.118399999994</v>
      </c>
      <c r="L19" s="308">
        <f t="shared" si="11"/>
        <v>14463.118400000007</v>
      </c>
      <c r="M19" s="310">
        <f>IF(M2&gt;0,(M2/M54)*M14,0)</f>
        <v>38143.488000000005</v>
      </c>
      <c r="N19" s="307">
        <f>SUM(C19:L19)</f>
        <v>133183.24444444443</v>
      </c>
    </row>
    <row r="20" spans="1:14" ht="15" customHeight="1">
      <c r="A20" s="343" t="s">
        <v>15</v>
      </c>
      <c r="B20" s="309"/>
      <c r="C20" s="308">
        <f>C14-C19</f>
        <v>-7229.1982755555555</v>
      </c>
      <c r="D20" s="308">
        <f t="shared" ref="D20:M20" si="12">D14-D19</f>
        <v>-5767.4603946666703</v>
      </c>
      <c r="E20" s="308">
        <f t="shared" si="12"/>
        <v>2.2011505777772982</v>
      </c>
      <c r="F20" s="308">
        <f t="shared" si="12"/>
        <v>8479.289744533331</v>
      </c>
      <c r="G20" s="308">
        <f t="shared" si="12"/>
        <v>15261.337333333331</v>
      </c>
      <c r="H20" s="308">
        <f t="shared" si="12"/>
        <v>22392.261194666666</v>
      </c>
      <c r="I20" s="308">
        <f t="shared" si="12"/>
        <v>39350.043110400002</v>
      </c>
      <c r="J20" s="308">
        <f t="shared" si="12"/>
        <v>61410.673304106662</v>
      </c>
      <c r="K20" s="308">
        <f t="shared" si="12"/>
        <v>84678.527207679988</v>
      </c>
      <c r="L20" s="308">
        <f t="shared" si="12"/>
        <v>105536.88159999999</v>
      </c>
      <c r="M20" s="308">
        <f t="shared" si="12"/>
        <v>87328.511999999988</v>
      </c>
    </row>
    <row r="21" spans="1:14" ht="15" customHeight="1">
      <c r="A21" s="45" t="s">
        <v>43</v>
      </c>
      <c r="B21" s="339">
        <f>IF('Input sheet'!B65="Yes",'Input sheet'!B66,0)</f>
        <v>0</v>
      </c>
      <c r="C21" s="340">
        <f>IF(C12&lt;0,B21-C12,IF(B21&gt;C12,B21-C12,0))</f>
        <v>0</v>
      </c>
      <c r="D21" s="340">
        <f t="shared" ref="D21:M21" si="13">IF(D12&lt;0,C21-D12,IF(C21&gt;D12,C21-D12,0))</f>
        <v>0</v>
      </c>
      <c r="E21" s="340">
        <f t="shared" si="13"/>
        <v>0</v>
      </c>
      <c r="F21" s="340">
        <f t="shared" si="13"/>
        <v>0</v>
      </c>
      <c r="G21" s="340">
        <f t="shared" si="13"/>
        <v>0</v>
      </c>
      <c r="H21" s="340">
        <f t="shared" si="13"/>
        <v>0</v>
      </c>
      <c r="I21" s="340">
        <f t="shared" si="13"/>
        <v>0</v>
      </c>
      <c r="J21" s="340">
        <f t="shared" si="13"/>
        <v>0</v>
      </c>
      <c r="K21" s="340">
        <f t="shared" si="13"/>
        <v>0</v>
      </c>
      <c r="L21" s="341">
        <f t="shared" si="13"/>
        <v>0</v>
      </c>
      <c r="M21" s="342">
        <f t="shared" si="13"/>
        <v>0</v>
      </c>
    </row>
    <row r="22" spans="1:14" ht="15" customHeight="1">
      <c r="A22" s="268"/>
      <c r="B22" s="269"/>
      <c r="C22" s="270"/>
      <c r="D22" s="270"/>
      <c r="E22" s="270"/>
      <c r="F22" s="270"/>
      <c r="G22" s="270"/>
      <c r="H22" s="270"/>
      <c r="I22" s="270"/>
      <c r="J22" s="270"/>
      <c r="K22" s="270"/>
      <c r="L22" s="300"/>
      <c r="M22" s="304"/>
    </row>
    <row r="23" spans="1:14" ht="15" customHeight="1">
      <c r="A23" s="264" t="s">
        <v>141</v>
      </c>
      <c r="B23" s="271"/>
      <c r="C23" s="272">
        <f>'Input sheet'!B42</f>
        <v>8.3745022599814103E-2</v>
      </c>
      <c r="D23" s="272">
        <f>C23</f>
        <v>8.3745022599814103E-2</v>
      </c>
      <c r="E23" s="272">
        <f>D23</f>
        <v>8.3745022599814103E-2</v>
      </c>
      <c r="F23" s="272">
        <f>E23</f>
        <v>8.3745022599814103E-2</v>
      </c>
      <c r="G23" s="272">
        <f>F23</f>
        <v>8.3745022599814103E-2</v>
      </c>
      <c r="H23" s="272">
        <f>G23-($G$23-$M$23)/5</f>
        <v>8.3496018079851284E-2</v>
      </c>
      <c r="I23" s="272">
        <f>H23-($G$23-$M$23)/5</f>
        <v>8.3247013559888464E-2</v>
      </c>
      <c r="J23" s="272">
        <f>I23-($G$23-$M$23)/5</f>
        <v>8.2998009039925644E-2</v>
      </c>
      <c r="K23" s="272">
        <f>J23-($G$23-$M$23)/5</f>
        <v>8.2749004519962824E-2</v>
      </c>
      <c r="L23" s="301">
        <f>K23-($G$23-$M$23)/5</f>
        <v>8.2500000000000004E-2</v>
      </c>
      <c r="M23" s="305">
        <f>IF('Input sheet'!B52="Yes",'Input sheet'!B53,'Input sheet'!B41+0.045)</f>
        <v>8.2500000000000004E-2</v>
      </c>
    </row>
    <row r="24" spans="1:14" ht="15" customHeight="1">
      <c r="A24" s="45" t="s">
        <v>142</v>
      </c>
      <c r="B24" s="77"/>
      <c r="C24" s="130">
        <f>1/(1+C23)</f>
        <v>0.92272626784581036</v>
      </c>
      <c r="D24" s="130">
        <f>C24*(1/(1+D23))</f>
        <v>0.85142376537265818</v>
      </c>
      <c r="E24" s="130">
        <f t="shared" ref="E24:L24" si="14">D24*(1/(1+E23))</f>
        <v>0.78563107337753979</v>
      </c>
      <c r="F24" s="130">
        <f t="shared" si="14"/>
        <v>0.72492242824135522</v>
      </c>
      <c r="G24" s="130">
        <f t="shared" si="14"/>
        <v>0.66890496668886801</v>
      </c>
      <c r="H24" s="130">
        <f t="shared" si="14"/>
        <v>0.61735802949630336</v>
      </c>
      <c r="I24" s="130">
        <f t="shared" si="14"/>
        <v>0.56991436096137649</v>
      </c>
      <c r="J24" s="130">
        <f t="shared" si="14"/>
        <v>0.52623768114458847</v>
      </c>
      <c r="K24" s="130">
        <f t="shared" si="14"/>
        <v>0.48602000920600813</v>
      </c>
      <c r="L24" s="302">
        <f t="shared" si="14"/>
        <v>0.44897922328499595</v>
      </c>
      <c r="M24" s="304"/>
    </row>
    <row r="25" spans="1:14" ht="15" customHeight="1">
      <c r="A25" s="45" t="s">
        <v>19</v>
      </c>
      <c r="B25" s="77"/>
      <c r="C25" s="345">
        <f t="shared" ref="C25:L25" si="15">C20*C24</f>
        <v>-6670.5711443207456</v>
      </c>
      <c r="D25" s="345">
        <f t="shared" si="15"/>
        <v>-4910.5528458647732</v>
      </c>
      <c r="E25" s="345">
        <f t="shared" si="15"/>
        <v>1.7292922910847706</v>
      </c>
      <c r="F25" s="345">
        <f t="shared" si="15"/>
        <v>6146.827311369123</v>
      </c>
      <c r="G25" s="345">
        <f t="shared" si="15"/>
        <v>10208.384340580909</v>
      </c>
      <c r="H25" s="345">
        <f t="shared" si="15"/>
        <v>13824.042247105952</v>
      </c>
      <c r="I25" s="345">
        <f t="shared" si="15"/>
        <v>22426.154673066234</v>
      </c>
      <c r="J25" s="345">
        <f t="shared" si="15"/>
        <v>32316.610317080973</v>
      </c>
      <c r="K25" s="345">
        <f t="shared" si="15"/>
        <v>41155.458573027841</v>
      </c>
      <c r="L25" s="346">
        <f t="shared" si="15"/>
        <v>47383.86712868858</v>
      </c>
      <c r="M25" s="304"/>
    </row>
    <row r="26" spans="1:14" ht="15" customHeight="1"/>
    <row r="27" spans="1:14" ht="15" customHeight="1">
      <c r="A27" s="44" t="s">
        <v>20</v>
      </c>
      <c r="B27" s="79">
        <f>M20</f>
        <v>87328.511999999988</v>
      </c>
      <c r="H27" s="267"/>
    </row>
    <row r="28" spans="1:14" ht="15" customHeight="1">
      <c r="A28" s="44" t="s">
        <v>137</v>
      </c>
      <c r="B28" s="80">
        <f>M23</f>
        <v>8.2500000000000004E-2</v>
      </c>
      <c r="G28" s="263"/>
      <c r="H28" s="263"/>
      <c r="I28" s="263"/>
      <c r="J28" s="263"/>
      <c r="K28" s="263"/>
      <c r="L28" s="263"/>
    </row>
    <row r="29" spans="1:14">
      <c r="A29" s="44" t="s">
        <v>21</v>
      </c>
      <c r="B29" s="79">
        <f>B27/(B28-M2)</f>
        <v>2366626.341463414</v>
      </c>
      <c r="D29" s="131"/>
    </row>
    <row r="30" spans="1:14">
      <c r="A30" s="44" t="s">
        <v>22</v>
      </c>
      <c r="B30" s="84">
        <f>B29*L24</f>
        <v>1062566.0565960552</v>
      </c>
    </row>
    <row r="31" spans="1:14">
      <c r="A31" s="44" t="s">
        <v>41</v>
      </c>
      <c r="B31" s="84">
        <f>SUM(C25:L25)</f>
        <v>161881.94989302519</v>
      </c>
    </row>
    <row r="32" spans="1:14">
      <c r="A32" s="44" t="s">
        <v>42</v>
      </c>
      <c r="B32" s="84">
        <f>B30+B31</f>
        <v>1224448.0064890804</v>
      </c>
    </row>
    <row r="33" spans="1:13">
      <c r="A33" s="44" t="s">
        <v>105</v>
      </c>
      <c r="B33" s="85">
        <f>IF('Input sheet'!B58="Yes",'Input sheet'!B59,0)</f>
        <v>0</v>
      </c>
    </row>
    <row r="34" spans="1:13">
      <c r="A34" s="44" t="s">
        <v>106</v>
      </c>
      <c r="B34" s="86">
        <f>IF('Input sheet'!B60="B",('Input sheet'!B13+'Input sheet'!B14)*'Input sheet'!B61,'Valuation output'!B32*'Input sheet'!B61)</f>
        <v>612224.00324454019</v>
      </c>
    </row>
    <row r="35" spans="1:13">
      <c r="A35" s="44" t="s">
        <v>39</v>
      </c>
      <c r="B35" s="79">
        <f>B32*(1-B33)+B34*B33</f>
        <v>1224448.0064890804</v>
      </c>
    </row>
    <row r="36" spans="1:13">
      <c r="A36" s="44" t="s">
        <v>383</v>
      </c>
      <c r="B36" s="79">
        <f>IF('Input sheet'!B16="Yes",'Input sheet'!B14+'Operating lease converter'!C28,'Input sheet'!B14)</f>
        <v>22896</v>
      </c>
    </row>
    <row r="37" spans="1:13">
      <c r="A37" s="44" t="s">
        <v>385</v>
      </c>
      <c r="B37" s="79">
        <f>'Input sheet'!B20</f>
        <v>0</v>
      </c>
    </row>
    <row r="38" spans="1:13">
      <c r="A38" s="44" t="s">
        <v>807</v>
      </c>
      <c r="B38" s="79">
        <f>'Input sheet'!B17+'Input sheet'!B18</f>
        <v>99747</v>
      </c>
    </row>
    <row r="39" spans="1:13">
      <c r="A39" s="44" t="s">
        <v>382</v>
      </c>
      <c r="B39" s="79">
        <f>'Input sheet'!B19</f>
        <v>0</v>
      </c>
    </row>
    <row r="40" spans="1:13">
      <c r="A40" s="44" t="s">
        <v>47</v>
      </c>
      <c r="B40" s="84">
        <f>B35-B36-B37+B38+B39</f>
        <v>1301299.0064890804</v>
      </c>
    </row>
    <row r="41" spans="1:13">
      <c r="A41" s="44" t="s">
        <v>53</v>
      </c>
      <c r="B41" s="87">
        <f>IF('Input sheet'!B44="No",0,'Option value'!D27)</f>
        <v>0</v>
      </c>
    </row>
    <row r="42" spans="1:13">
      <c r="A42" s="44" t="s">
        <v>54</v>
      </c>
      <c r="B42" s="84">
        <f>B40-B41</f>
        <v>1301299.0064890804</v>
      </c>
    </row>
    <row r="43" spans="1:13">
      <c r="A43" s="44" t="s">
        <v>13</v>
      </c>
      <c r="B43" s="88">
        <f ca="1">'Input sheet'!B21+'Input sheet'!B18/'Valuation output'!B44</f>
        <v>13301.954376318596</v>
      </c>
    </row>
    <row r="44" spans="1:13">
      <c r="A44" s="44" t="s">
        <v>89</v>
      </c>
      <c r="B44" s="89">
        <f ca="1">B42/B43</f>
        <v>97.827655220782944</v>
      </c>
    </row>
    <row r="45" spans="1:13">
      <c r="A45" s="44" t="s">
        <v>96</v>
      </c>
      <c r="B45" s="79">
        <f>'Input sheet'!B22</f>
        <v>135</v>
      </c>
    </row>
    <row r="46" spans="1:13">
      <c r="A46" s="44" t="s">
        <v>45</v>
      </c>
      <c r="B46" s="81">
        <f ca="1">B45/B44</f>
        <v>1.379977877373473</v>
      </c>
    </row>
    <row r="48" spans="1:13">
      <c r="A48" s="46" t="s">
        <v>16</v>
      </c>
      <c r="B48" s="77"/>
      <c r="C48" s="83"/>
      <c r="D48" s="83"/>
      <c r="E48" s="83"/>
      <c r="F48" s="83"/>
      <c r="G48" s="83"/>
      <c r="H48" s="83"/>
      <c r="I48" s="83"/>
      <c r="J48" s="83"/>
      <c r="K48" s="83"/>
      <c r="L48" s="83"/>
      <c r="M48" s="83" t="s">
        <v>38</v>
      </c>
    </row>
    <row r="49" spans="1:13">
      <c r="A49" s="44" t="s">
        <v>759</v>
      </c>
      <c r="B49" s="77"/>
      <c r="C49" s="90">
        <f>'Input sheet'!B36</f>
        <v>3</v>
      </c>
      <c r="D49" s="90">
        <f>C49</f>
        <v>3</v>
      </c>
      <c r="E49" s="90">
        <f t="shared" ref="E49:L49" si="16">D49</f>
        <v>3</v>
      </c>
      <c r="F49" s="90">
        <f t="shared" si="16"/>
        <v>3</v>
      </c>
      <c r="G49" s="90">
        <f t="shared" si="16"/>
        <v>3</v>
      </c>
      <c r="H49" s="90">
        <f>'Input sheet'!C36</f>
        <v>4</v>
      </c>
      <c r="I49" s="90">
        <f t="shared" si="16"/>
        <v>4</v>
      </c>
      <c r="J49" s="90">
        <f t="shared" si="16"/>
        <v>4</v>
      </c>
      <c r="K49" s="90">
        <f t="shared" si="16"/>
        <v>4</v>
      </c>
      <c r="L49" s="90">
        <f t="shared" si="16"/>
        <v>4</v>
      </c>
      <c r="M49" s="83"/>
    </row>
    <row r="50" spans="1:13">
      <c r="A50" s="44" t="s">
        <v>751</v>
      </c>
      <c r="B50" s="77"/>
      <c r="C50" s="90">
        <f>'Input sheet'!B37</f>
        <v>3</v>
      </c>
      <c r="D50" s="90">
        <f t="shared" ref="D50:D52" si="17">C50</f>
        <v>3</v>
      </c>
      <c r="E50" s="90">
        <f t="shared" ref="E50:E52" si="18">D50</f>
        <v>3</v>
      </c>
      <c r="F50" s="90">
        <f t="shared" ref="F50:F52" si="19">E50</f>
        <v>3</v>
      </c>
      <c r="G50" s="90">
        <f t="shared" ref="G50:G52" si="20">F50</f>
        <v>3</v>
      </c>
      <c r="H50" s="90">
        <f>'Input sheet'!C37</f>
        <v>5</v>
      </c>
      <c r="I50" s="90">
        <f t="shared" ref="I50:I52" si="21">H50</f>
        <v>5</v>
      </c>
      <c r="J50" s="90">
        <f t="shared" ref="J50:J52" si="22">I50</f>
        <v>5</v>
      </c>
      <c r="K50" s="90">
        <f t="shared" ref="K50:K52" si="23">J50</f>
        <v>5</v>
      </c>
      <c r="L50" s="90">
        <f t="shared" ref="L50:L52" si="24">K50</f>
        <v>5</v>
      </c>
      <c r="M50" s="83"/>
    </row>
    <row r="51" spans="1:13">
      <c r="A51" s="44" t="s">
        <v>752</v>
      </c>
      <c r="B51" s="77"/>
      <c r="C51" s="90">
        <f>'Input sheet'!B38</f>
        <v>1.5</v>
      </c>
      <c r="D51" s="90">
        <f t="shared" si="17"/>
        <v>1.5</v>
      </c>
      <c r="E51" s="90">
        <f t="shared" si="18"/>
        <v>1.5</v>
      </c>
      <c r="F51" s="90">
        <f t="shared" si="19"/>
        <v>1.5</v>
      </c>
      <c r="G51" s="90">
        <f t="shared" si="20"/>
        <v>1.5</v>
      </c>
      <c r="H51" s="90">
        <f>'Input sheet'!C38</f>
        <v>2.5</v>
      </c>
      <c r="I51" s="90">
        <f t="shared" si="21"/>
        <v>2.5</v>
      </c>
      <c r="J51" s="90">
        <f t="shared" si="22"/>
        <v>2.5</v>
      </c>
      <c r="K51" s="90">
        <f t="shared" si="23"/>
        <v>2.5</v>
      </c>
      <c r="L51" s="90">
        <f t="shared" si="24"/>
        <v>2.5</v>
      </c>
      <c r="M51" s="83"/>
    </row>
    <row r="52" spans="1:13">
      <c r="A52" s="44" t="s">
        <v>753</v>
      </c>
      <c r="B52" s="77"/>
      <c r="C52" s="90">
        <f>'Input sheet'!B39</f>
        <v>5</v>
      </c>
      <c r="D52" s="90">
        <f t="shared" si="17"/>
        <v>5</v>
      </c>
      <c r="E52" s="90">
        <f t="shared" si="18"/>
        <v>5</v>
      </c>
      <c r="F52" s="90">
        <f t="shared" si="19"/>
        <v>5</v>
      </c>
      <c r="G52" s="90">
        <f t="shared" si="20"/>
        <v>5</v>
      </c>
      <c r="H52" s="90">
        <f>'Input sheet'!C39</f>
        <v>5</v>
      </c>
      <c r="I52" s="90">
        <f t="shared" si="21"/>
        <v>5</v>
      </c>
      <c r="J52" s="90">
        <f t="shared" si="22"/>
        <v>5</v>
      </c>
      <c r="K52" s="90">
        <f t="shared" si="23"/>
        <v>5</v>
      </c>
      <c r="L52" s="90">
        <f t="shared" si="24"/>
        <v>5</v>
      </c>
      <c r="M52" s="83"/>
    </row>
    <row r="53" spans="1:13">
      <c r="A53" s="44" t="s">
        <v>17</v>
      </c>
      <c r="B53" s="91">
        <f>IF('Input sheet'!B16="Yes",IF('Input sheet'!B15="Yes",'Input sheet'!B13+'Input sheet'!B14-'Input sheet'!B17+'Operating lease converter'!F33+'R&amp; D converter'!D35,'Input sheet'!B13+'Input sheet'!B14-'Input sheet'!B17+'Operating lease converter'!F33),IF('Input sheet'!B15="Yes",'Input sheet'!B13+'Input sheet'!B14-'Input sheet'!B17+'R&amp; D converter'!D35,'Input sheet'!B13+'Input sheet'!B14-'Input sheet'!B17))</f>
        <v>53191.199999999997</v>
      </c>
      <c r="C53" s="92">
        <f t="shared" ref="C53:L53" si="25">B53+C15</f>
        <v>53989.288888888885</v>
      </c>
      <c r="D53" s="92">
        <f t="shared" si="25"/>
        <v>54946.99555555555</v>
      </c>
      <c r="E53" s="92">
        <f t="shared" si="25"/>
        <v>55840.855111111108</v>
      </c>
      <c r="F53" s="92">
        <f t="shared" si="25"/>
        <v>56511.249777777775</v>
      </c>
      <c r="G53" s="92">
        <f t="shared" si="25"/>
        <v>57181.644444444442</v>
      </c>
      <c r="H53" s="92">
        <f t="shared" si="25"/>
        <v>58378.777777777774</v>
      </c>
      <c r="I53" s="92">
        <f t="shared" si="25"/>
        <v>59815.337777777771</v>
      </c>
      <c r="J53" s="92">
        <f t="shared" si="25"/>
        <v>61156.127111111105</v>
      </c>
      <c r="K53" s="92">
        <f t="shared" si="25"/>
        <v>62161.719111111102</v>
      </c>
      <c r="L53" s="92">
        <f t="shared" si="25"/>
        <v>63167.311111111107</v>
      </c>
      <c r="M53" s="83"/>
    </row>
    <row r="54" spans="1:13">
      <c r="A54" s="44" t="s">
        <v>18</v>
      </c>
      <c r="B54" s="80">
        <f t="shared" ref="B54:L54" si="26">B14/B53</f>
        <v>6.8022154040517979E-2</v>
      </c>
      <c r="C54" s="78">
        <f t="shared" si="26"/>
        <v>5.4665607581421492E-2</v>
      </c>
      <c r="D54" s="78">
        <f t="shared" si="26"/>
        <v>0.11737140869657495</v>
      </c>
      <c r="E54" s="78">
        <f t="shared" si="26"/>
        <v>0.20423081541476548</v>
      </c>
      <c r="F54" s="78">
        <f t="shared" si="26"/>
        <v>0.30137285015234566</v>
      </c>
      <c r="G54" s="78">
        <f t="shared" si="26"/>
        <v>0.41644489645861488</v>
      </c>
      <c r="H54" s="78">
        <f t="shared" si="26"/>
        <v>0.66545337204349386</v>
      </c>
      <c r="I54" s="78">
        <f t="shared" si="26"/>
        <v>0.97462218347713281</v>
      </c>
      <c r="J54" s="78">
        <f t="shared" si="26"/>
        <v>1.2976867827691669</v>
      </c>
      <c r="K54" s="78">
        <f t="shared" si="26"/>
        <v>1.5948987097745644</v>
      </c>
      <c r="L54" s="272">
        <f t="shared" si="26"/>
        <v>1.8997167663021206</v>
      </c>
      <c r="M54" s="78">
        <f>IF('Input sheet'!B55="Yes",'Input sheet'!B56,'Valuation output'!L23)</f>
        <v>0.15</v>
      </c>
    </row>
  </sheetData>
  <phoneticPr fontId="6" type="noConversion"/>
  <pageMargins left="0.75" right="0.75" top="1" bottom="1" header="0.5" footer="0.5"/>
  <pageSetup orientation="landscape" horizontalDpi="4294967292" verticalDpi="4294967292"/>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9"/>
  <sheetViews>
    <sheetView tabSelected="1" zoomScale="93" zoomScaleNormal="93" workbookViewId="0">
      <selection activeCell="Q12" sqref="Q12"/>
    </sheetView>
  </sheetViews>
  <sheetFormatPr baseColWidth="10" defaultRowHeight="16"/>
  <cols>
    <col min="1" max="1" width="20.33203125" style="231" customWidth="1"/>
    <col min="2" max="2" width="14.5" style="231" bestFit="1" customWidth="1"/>
    <col min="3" max="3" width="17.6640625" style="231" customWidth="1"/>
    <col min="4" max="4" width="16.5" style="231" customWidth="1"/>
    <col min="5" max="5" width="13.83203125" style="231" customWidth="1"/>
    <col min="6" max="6" width="24.6640625" style="232" customWidth="1"/>
    <col min="7" max="7" width="37.1640625" style="231" customWidth="1"/>
    <col min="8" max="8" width="17" customWidth="1"/>
  </cols>
  <sheetData>
    <row r="1" spans="1:11" ht="18">
      <c r="A1" s="388" t="str">
        <f>'Input sheet'!B2</f>
        <v>SpaceX</v>
      </c>
      <c r="B1" s="389"/>
      <c r="C1" s="389"/>
      <c r="D1" s="389"/>
      <c r="E1" s="389"/>
      <c r="F1" s="389"/>
      <c r="G1" s="390"/>
    </row>
    <row r="2" spans="1:11" ht="18">
      <c r="A2" s="391" t="s">
        <v>800</v>
      </c>
      <c r="B2" s="391"/>
      <c r="C2" s="391"/>
      <c r="D2" s="391"/>
      <c r="E2" s="391"/>
      <c r="F2" s="391"/>
      <c r="G2" s="273">
        <f>'Input sheet'!B1</f>
        <v>44712</v>
      </c>
    </row>
    <row r="3" spans="1:11" ht="16" customHeight="1">
      <c r="A3" s="365" t="s">
        <v>814</v>
      </c>
      <c r="B3" s="366"/>
      <c r="C3" s="366"/>
      <c r="D3" s="366"/>
      <c r="E3" s="366"/>
      <c r="F3" s="366"/>
      <c r="G3" s="366"/>
      <c r="H3" s="367" t="s">
        <v>547</v>
      </c>
      <c r="I3" s="368"/>
      <c r="J3" s="368"/>
      <c r="K3" s="369"/>
    </row>
    <row r="4" spans="1:11" ht="16" customHeight="1">
      <c r="A4" s="366"/>
      <c r="B4" s="366"/>
      <c r="C4" s="366"/>
      <c r="D4" s="366"/>
      <c r="E4" s="366"/>
      <c r="F4" s="366"/>
      <c r="G4" s="366"/>
      <c r="H4" s="370"/>
      <c r="I4" s="370"/>
      <c r="J4" s="370"/>
      <c r="K4" s="371"/>
    </row>
    <row r="5" spans="1:11" ht="12" customHeight="1">
      <c r="A5" s="366"/>
      <c r="B5" s="366"/>
      <c r="C5" s="366"/>
      <c r="D5" s="366"/>
      <c r="E5" s="366"/>
      <c r="F5" s="366"/>
      <c r="G5" s="366"/>
      <c r="H5" s="370"/>
      <c r="I5" s="370"/>
      <c r="J5" s="370"/>
      <c r="K5" s="371"/>
    </row>
    <row r="6" spans="1:11" ht="53" customHeight="1">
      <c r="A6" s="366"/>
      <c r="B6" s="366"/>
      <c r="C6" s="366"/>
      <c r="D6" s="366"/>
      <c r="E6" s="366"/>
      <c r="F6" s="366"/>
      <c r="G6" s="366"/>
      <c r="H6" s="372"/>
      <c r="I6" s="372"/>
      <c r="J6" s="372"/>
      <c r="K6" s="373"/>
    </row>
    <row r="7" spans="1:11" ht="18">
      <c r="A7" s="391" t="s">
        <v>525</v>
      </c>
      <c r="B7" s="391"/>
      <c r="C7" s="391"/>
      <c r="D7" s="391"/>
      <c r="E7" s="391"/>
      <c r="F7" s="391"/>
      <c r="G7" s="391"/>
    </row>
    <row r="8" spans="1:11" ht="18">
      <c r="A8" s="274"/>
      <c r="B8" s="275" t="s">
        <v>526</v>
      </c>
      <c r="C8" s="276" t="s">
        <v>391</v>
      </c>
      <c r="D8" s="275" t="s">
        <v>729</v>
      </c>
      <c r="E8" s="275"/>
      <c r="F8" s="275" t="s">
        <v>38</v>
      </c>
      <c r="G8" s="275" t="s">
        <v>535</v>
      </c>
    </row>
    <row r="9" spans="1:11" ht="57">
      <c r="A9" s="274" t="s">
        <v>536</v>
      </c>
      <c r="B9" s="277">
        <f>'Valuation output'!B7</f>
        <v>18674</v>
      </c>
      <c r="C9" s="278"/>
      <c r="D9" s="278">
        <f>F9</f>
        <v>4.5600000000000002E-2</v>
      </c>
      <c r="E9" s="279"/>
      <c r="F9" s="278">
        <f>'Valuation output'!M2</f>
        <v>4.5600000000000002E-2</v>
      </c>
      <c r="G9" s="280" t="s">
        <v>620</v>
      </c>
      <c r="H9" s="374" t="s">
        <v>548</v>
      </c>
      <c r="I9" s="374"/>
      <c r="J9" s="374"/>
      <c r="K9" s="375"/>
    </row>
    <row r="10" spans="1:11" ht="57">
      <c r="A10" s="274" t="s">
        <v>537</v>
      </c>
      <c r="B10" s="278">
        <f>'Valuation output'!B12/'Valuation output'!B7</f>
        <v>0.21528328156795543</v>
      </c>
      <c r="C10" s="278">
        <f>B10</f>
        <v>0.21528328156795543</v>
      </c>
      <c r="D10" s="278">
        <f>'Valuation output'!G12/'Valuation output'!G7</f>
        <v>0.22212711418561179</v>
      </c>
      <c r="E10" s="278"/>
      <c r="F10" s="278">
        <f>'Valuation output'!L12/'Valuation output'!L7</f>
        <v>0.38095238095238093</v>
      </c>
      <c r="G10" s="281" t="s">
        <v>727</v>
      </c>
      <c r="H10" s="376"/>
      <c r="I10" s="376"/>
      <c r="J10" s="376"/>
      <c r="K10" s="377"/>
    </row>
    <row r="11" spans="1:11" ht="18">
      <c r="A11" s="274" t="s">
        <v>135</v>
      </c>
      <c r="B11" s="278">
        <f>'Valuation output'!B13</f>
        <v>0.1</v>
      </c>
      <c r="C11" s="278">
        <f>B11</f>
        <v>0.1</v>
      </c>
      <c r="D11" s="278">
        <f>F11</f>
        <v>0.25</v>
      </c>
      <c r="E11" s="278"/>
      <c r="F11" s="278">
        <f>'Valuation output'!M13</f>
        <v>0.25</v>
      </c>
      <c r="G11" s="274" t="s">
        <v>621</v>
      </c>
      <c r="H11" s="376"/>
      <c r="I11" s="376"/>
      <c r="J11" s="376"/>
      <c r="K11" s="377"/>
    </row>
    <row r="12" spans="1:11" ht="38">
      <c r="A12" s="274" t="s">
        <v>538</v>
      </c>
      <c r="B12" s="279"/>
      <c r="C12" s="282" t="s">
        <v>542</v>
      </c>
      <c r="D12" s="283">
        <f>'Input sheet'!B36</f>
        <v>3</v>
      </c>
      <c r="E12" s="284" t="s">
        <v>552</v>
      </c>
      <c r="F12" s="285">
        <f>'Valuation output'!M2/'Valuation output'!M54</f>
        <v>0.30400000000000005</v>
      </c>
      <c r="G12" s="281" t="s">
        <v>622</v>
      </c>
      <c r="H12" s="376"/>
      <c r="I12" s="376"/>
      <c r="J12" s="376"/>
      <c r="K12" s="377"/>
    </row>
    <row r="13" spans="1:11" ht="18">
      <c r="A13" s="274" t="s">
        <v>550</v>
      </c>
      <c r="B13" s="278">
        <f>'Valuation output'!B54</f>
        <v>6.8022154040517979E-2</v>
      </c>
      <c r="C13" s="282" t="s">
        <v>551</v>
      </c>
      <c r="D13" s="286">
        <f>Diagnostics!B6</f>
        <v>15.635331068664032</v>
      </c>
      <c r="E13" s="284"/>
      <c r="F13" s="285">
        <f>'Valuation output'!M54</f>
        <v>0.15</v>
      </c>
      <c r="G13" s="274" t="s">
        <v>624</v>
      </c>
      <c r="H13" s="376"/>
      <c r="I13" s="376"/>
      <c r="J13" s="376"/>
      <c r="K13" s="377"/>
    </row>
    <row r="14" spans="1:11" ht="18">
      <c r="A14" s="274" t="s">
        <v>539</v>
      </c>
      <c r="B14" s="279"/>
      <c r="C14" s="278">
        <f>'Valuation output'!C23</f>
        <v>8.3745022599814103E-2</v>
      </c>
      <c r="D14" s="278">
        <f>F14</f>
        <v>8.2500000000000004E-2</v>
      </c>
      <c r="E14" s="279"/>
      <c r="F14" s="278">
        <f>'Valuation output'!M23</f>
        <v>8.2500000000000004E-2</v>
      </c>
      <c r="G14" s="274" t="s">
        <v>623</v>
      </c>
      <c r="H14" s="378"/>
      <c r="I14" s="378"/>
      <c r="J14" s="378"/>
      <c r="K14" s="379"/>
    </row>
    <row r="15" spans="1:11" ht="18">
      <c r="A15" s="391" t="s">
        <v>530</v>
      </c>
      <c r="B15" s="391"/>
      <c r="C15" s="391"/>
      <c r="D15" s="391"/>
      <c r="E15" s="391"/>
      <c r="F15" s="391"/>
      <c r="G15" s="391"/>
    </row>
    <row r="16" spans="1:11" ht="18">
      <c r="A16" s="275"/>
      <c r="B16" s="287" t="s">
        <v>11</v>
      </c>
      <c r="C16" s="287" t="s">
        <v>529</v>
      </c>
      <c r="D16" s="287" t="s">
        <v>543</v>
      </c>
      <c r="E16" s="287" t="s">
        <v>531</v>
      </c>
      <c r="F16" s="287" t="s">
        <v>540</v>
      </c>
      <c r="G16" s="288" t="s">
        <v>15</v>
      </c>
      <c r="H16" s="380" t="s">
        <v>549</v>
      </c>
      <c r="I16" s="381"/>
      <c r="J16" s="381"/>
      <c r="K16" s="382"/>
    </row>
    <row r="17" spans="1:11" ht="18">
      <c r="A17" s="279">
        <v>1</v>
      </c>
      <c r="B17" s="293">
        <f>'Valuation output'!C7</f>
        <v>38762.399999999994</v>
      </c>
      <c r="C17" s="285">
        <f>D17/B17</f>
        <v>8.4599660151762179E-2</v>
      </c>
      <c r="D17" s="294">
        <f>'Valuation output'!C12</f>
        <v>3279.2858666666657</v>
      </c>
      <c r="E17" s="293">
        <f>'Valuation output'!C14</f>
        <v>2951.3572799999993</v>
      </c>
      <c r="F17" s="293">
        <f>'Valuation output'!C19</f>
        <v>10180.555555555555</v>
      </c>
      <c r="G17" s="294">
        <f>E17-F17</f>
        <v>-7229.1982755555555</v>
      </c>
      <c r="H17" s="383"/>
      <c r="I17" s="383"/>
      <c r="J17" s="383"/>
      <c r="K17" s="384"/>
    </row>
    <row r="18" spans="1:11" ht="18">
      <c r="A18" s="279">
        <v>2</v>
      </c>
      <c r="B18" s="293">
        <f>'Valuation output'!D7</f>
        <v>62868.479999999996</v>
      </c>
      <c r="C18" s="285">
        <f t="shared" ref="C18:C27" si="0">D18/B18</f>
        <v>0.11398056302087572</v>
      </c>
      <c r="D18" s="294">
        <f>'Valuation output'!D12</f>
        <v>7165.7847466666644</v>
      </c>
      <c r="E18" s="293">
        <f>'Valuation output'!D14</f>
        <v>6449.2062719999976</v>
      </c>
      <c r="F18" s="293">
        <f>'Valuation output'!D19</f>
        <v>12216.666666666668</v>
      </c>
      <c r="G18" s="294">
        <f t="shared" ref="G18:G27" si="1">E18-F18</f>
        <v>-5767.4603946666703</v>
      </c>
      <c r="H18" s="383"/>
      <c r="I18" s="383"/>
      <c r="J18" s="383"/>
      <c r="K18" s="384"/>
    </row>
    <row r="19" spans="1:11" ht="18">
      <c r="A19" s="279">
        <v>3</v>
      </c>
      <c r="B19" s="293">
        <f>'Valuation output'!E7</f>
        <v>85367.487999999983</v>
      </c>
      <c r="C19" s="285">
        <f t="shared" si="0"/>
        <v>0.14843568461723194</v>
      </c>
      <c r="D19" s="294">
        <f>'Valuation output'!E12</f>
        <v>12671.581525333329</v>
      </c>
      <c r="E19" s="293">
        <f>'Valuation output'!E14</f>
        <v>11404.423372799996</v>
      </c>
      <c r="F19" s="293">
        <f>'Valuation output'!E19</f>
        <v>11402.222222222219</v>
      </c>
      <c r="G19" s="294">
        <f t="shared" si="1"/>
        <v>2.2011505777772982</v>
      </c>
      <c r="H19" s="383"/>
      <c r="I19" s="383"/>
      <c r="J19" s="383"/>
      <c r="K19" s="384"/>
    </row>
    <row r="20" spans="1:11" ht="18">
      <c r="A20" s="279">
        <v>4</v>
      </c>
      <c r="B20" s="293">
        <f>'Valuation output'!F7</f>
        <v>102241.74399999998</v>
      </c>
      <c r="C20" s="285">
        <f t="shared" si="0"/>
        <v>0.18508374525901411</v>
      </c>
      <c r="D20" s="294">
        <f>'Valuation output'!F12</f>
        <v>18923.284901333329</v>
      </c>
      <c r="E20" s="293">
        <f>'Valuation output'!F14</f>
        <v>17030.956411199997</v>
      </c>
      <c r="F20" s="293">
        <f>'Valuation output'!F19</f>
        <v>8551.6666666666661</v>
      </c>
      <c r="G20" s="294">
        <f t="shared" si="1"/>
        <v>8479.289744533331</v>
      </c>
      <c r="H20" s="383"/>
      <c r="I20" s="383"/>
      <c r="J20" s="383"/>
      <c r="K20" s="384"/>
    </row>
    <row r="21" spans="1:11" ht="18">
      <c r="A21" s="279">
        <v>5</v>
      </c>
      <c r="B21" s="293">
        <f>'Valuation output'!G7</f>
        <v>119115.99999999999</v>
      </c>
      <c r="C21" s="285">
        <f t="shared" si="0"/>
        <v>0.22212711418561179</v>
      </c>
      <c r="D21" s="294">
        <f>'Valuation output'!G12</f>
        <v>26458.89333333333</v>
      </c>
      <c r="E21" s="293">
        <f>'Valuation output'!G14</f>
        <v>23813.003999999997</v>
      </c>
      <c r="F21" s="293">
        <f>'Valuation output'!G19</f>
        <v>8551.6666666666661</v>
      </c>
      <c r="G21" s="294">
        <f t="shared" si="1"/>
        <v>15261.337333333331</v>
      </c>
      <c r="H21" s="383"/>
      <c r="I21" s="383"/>
      <c r="J21" s="383"/>
      <c r="K21" s="384"/>
    </row>
    <row r="22" spans="1:11" ht="18">
      <c r="A22" s="279">
        <v>6</v>
      </c>
      <c r="B22" s="293">
        <f>'Valuation output'!H7</f>
        <v>179292.79999999999</v>
      </c>
      <c r="C22" s="285">
        <f t="shared" si="0"/>
        <v>0.2490522824489699</v>
      </c>
      <c r="D22" s="294">
        <f>'Valuation output'!H12</f>
        <v>44653.28106666667</v>
      </c>
      <c r="E22" s="293">
        <f>'Valuation output'!H14</f>
        <v>38848.354528000003</v>
      </c>
      <c r="F22" s="293">
        <f>'Valuation output'!H19</f>
        <v>16456.093333333338</v>
      </c>
      <c r="G22" s="294">
        <f t="shared" si="1"/>
        <v>22392.261194666666</v>
      </c>
      <c r="H22" s="383"/>
      <c r="I22" s="383"/>
      <c r="J22" s="383"/>
      <c r="K22" s="384"/>
    </row>
    <row r="23" spans="1:11" ht="18">
      <c r="A23" s="279">
        <v>7</v>
      </c>
      <c r="B23" s="293">
        <f>'Valuation output'!I7</f>
        <v>247504.96</v>
      </c>
      <c r="C23" s="285">
        <f t="shared" si="0"/>
        <v>0.28040493906330877</v>
      </c>
      <c r="D23" s="294">
        <f>'Valuation output'!I12</f>
        <v>69401.613226666668</v>
      </c>
      <c r="E23" s="293">
        <f>'Valuation output'!I14</f>
        <v>58297.3551104</v>
      </c>
      <c r="F23" s="293">
        <f>'Valuation output'!I19</f>
        <v>18947.311999999998</v>
      </c>
      <c r="G23" s="294">
        <f t="shared" si="1"/>
        <v>39350.043110400002</v>
      </c>
      <c r="H23" s="383"/>
      <c r="I23" s="383"/>
      <c r="J23" s="383"/>
      <c r="K23" s="384"/>
    </row>
    <row r="24" spans="1:11" ht="18">
      <c r="A24" s="279">
        <v>8</v>
      </c>
      <c r="B24" s="293">
        <f>'Valuation output'!J7</f>
        <v>312502.97600000002</v>
      </c>
      <c r="C24" s="285">
        <f t="shared" si="0"/>
        <v>0.3135239192858118</v>
      </c>
      <c r="D24" s="294">
        <f>'Valuation output'!J12</f>
        <v>97977.157823999994</v>
      </c>
      <c r="E24" s="293">
        <f>'Valuation output'!J14</f>
        <v>79361.497837439994</v>
      </c>
      <c r="F24" s="293">
        <f>'Valuation output'!J19</f>
        <v>17950.824533333336</v>
      </c>
      <c r="G24" s="294">
        <f t="shared" si="1"/>
        <v>61410.673304106662</v>
      </c>
      <c r="H24" s="383"/>
      <c r="I24" s="383"/>
      <c r="J24" s="383"/>
      <c r="K24" s="384"/>
    </row>
    <row r="25" spans="1:11" ht="18">
      <c r="A25" s="279">
        <v>9</v>
      </c>
      <c r="B25" s="293">
        <f>'Valuation output'!K7</f>
        <v>366251.48800000001</v>
      </c>
      <c r="C25" s="285">
        <f t="shared" si="0"/>
        <v>0.3470420681430787</v>
      </c>
      <c r="D25" s="294">
        <f>'Valuation output'!K12</f>
        <v>127104.67385599998</v>
      </c>
      <c r="E25" s="293">
        <f>'Valuation output'!K14</f>
        <v>99141.64560767998</v>
      </c>
      <c r="F25" s="293">
        <f>'Valuation output'!K19</f>
        <v>14463.118399999994</v>
      </c>
      <c r="G25" s="294">
        <f t="shared" si="1"/>
        <v>84678.527207679988</v>
      </c>
      <c r="H25" s="383"/>
      <c r="I25" s="383"/>
      <c r="J25" s="383"/>
      <c r="K25" s="384"/>
    </row>
    <row r="26" spans="1:11" ht="18">
      <c r="A26" s="279">
        <v>10</v>
      </c>
      <c r="B26" s="293">
        <f>'Valuation output'!L7</f>
        <v>420000</v>
      </c>
      <c r="C26" s="285">
        <f t="shared" si="0"/>
        <v>0.38095238095238093</v>
      </c>
      <c r="D26" s="294">
        <f>'Valuation output'!L12</f>
        <v>160000</v>
      </c>
      <c r="E26" s="293">
        <f>'Valuation output'!L14</f>
        <v>120000</v>
      </c>
      <c r="F26" s="293">
        <f>'Valuation output'!L19</f>
        <v>14463.118400000007</v>
      </c>
      <c r="G26" s="294">
        <f t="shared" si="1"/>
        <v>105536.88159999999</v>
      </c>
      <c r="H26" s="383"/>
      <c r="I26" s="383"/>
      <c r="J26" s="383"/>
      <c r="K26" s="384"/>
    </row>
    <row r="27" spans="1:11" ht="18">
      <c r="A27" s="279" t="s">
        <v>40</v>
      </c>
      <c r="B27" s="293">
        <f>'Valuation output'!M7</f>
        <v>439152</v>
      </c>
      <c r="C27" s="285">
        <f t="shared" si="0"/>
        <v>0.38095238095238093</v>
      </c>
      <c r="D27" s="294">
        <f>'Valuation output'!M12</f>
        <v>167296</v>
      </c>
      <c r="E27" s="293">
        <f>'Valuation output'!M14</f>
        <v>125472</v>
      </c>
      <c r="F27" s="293">
        <f>'Valuation output'!M19</f>
        <v>38143.488000000005</v>
      </c>
      <c r="G27" s="294">
        <f t="shared" si="1"/>
        <v>87328.511999999988</v>
      </c>
      <c r="H27" s="385"/>
      <c r="I27" s="385"/>
      <c r="J27" s="385"/>
      <c r="K27" s="386"/>
    </row>
    <row r="28" spans="1:11" ht="18">
      <c r="A28" s="391" t="s">
        <v>532</v>
      </c>
      <c r="B28" s="391"/>
      <c r="C28" s="391"/>
      <c r="D28" s="391"/>
      <c r="E28" s="391"/>
      <c r="F28" s="391"/>
      <c r="G28" s="391"/>
    </row>
    <row r="29" spans="1:11" ht="18">
      <c r="A29" s="364" t="s">
        <v>533</v>
      </c>
      <c r="B29" s="364"/>
      <c r="C29" s="364"/>
      <c r="D29" s="289">
        <f>'Valuation output'!B29</f>
        <v>2366626.341463414</v>
      </c>
      <c r="E29" s="289"/>
      <c r="F29" s="274"/>
      <c r="G29" s="274"/>
      <c r="H29" s="376" t="s">
        <v>553</v>
      </c>
      <c r="I29" s="376"/>
      <c r="J29" s="376"/>
      <c r="K29" s="376"/>
    </row>
    <row r="30" spans="1:11" ht="18">
      <c r="A30" s="364" t="s">
        <v>534</v>
      </c>
      <c r="B30" s="364"/>
      <c r="C30" s="364"/>
      <c r="D30" s="289">
        <f>'Valuation output'!B30</f>
        <v>1062566.0565960552</v>
      </c>
      <c r="E30" s="289"/>
      <c r="F30" s="274"/>
      <c r="G30" s="274"/>
      <c r="H30" s="376"/>
      <c r="I30" s="376"/>
      <c r="J30" s="376"/>
      <c r="K30" s="376"/>
    </row>
    <row r="31" spans="1:11" ht="18">
      <c r="A31" s="364" t="s">
        <v>41</v>
      </c>
      <c r="B31" s="364"/>
      <c r="C31" s="364"/>
      <c r="D31" s="289">
        <f>'Valuation output'!B31</f>
        <v>161881.94989302519</v>
      </c>
      <c r="E31" s="289"/>
      <c r="F31" s="274"/>
      <c r="G31" s="274"/>
      <c r="H31" s="376"/>
      <c r="I31" s="376"/>
      <c r="J31" s="376"/>
      <c r="K31" s="376"/>
    </row>
    <row r="32" spans="1:11" ht="18">
      <c r="A32" s="364" t="s">
        <v>39</v>
      </c>
      <c r="B32" s="364"/>
      <c r="C32" s="364"/>
      <c r="D32" s="289">
        <f>'Valuation output'!B32</f>
        <v>1224448.0064890804</v>
      </c>
      <c r="E32" s="289"/>
      <c r="F32" s="274"/>
      <c r="G32" s="274"/>
      <c r="H32" s="376"/>
      <c r="I32" s="376"/>
      <c r="J32" s="376"/>
      <c r="K32" s="376"/>
    </row>
    <row r="33" spans="1:11" ht="18">
      <c r="A33" s="364" t="s">
        <v>544</v>
      </c>
      <c r="B33" s="364"/>
      <c r="C33" s="364"/>
      <c r="D33" s="289">
        <f>D32-'Valuation output'!B35</f>
        <v>0</v>
      </c>
      <c r="E33" s="387" t="s">
        <v>105</v>
      </c>
      <c r="F33" s="387"/>
      <c r="G33" s="290">
        <f>'Valuation output'!B33</f>
        <v>0</v>
      </c>
      <c r="H33" s="376"/>
      <c r="I33" s="376"/>
      <c r="J33" s="376"/>
      <c r="K33" s="376"/>
    </row>
    <row r="34" spans="1:11" ht="18">
      <c r="A34" s="364" t="s">
        <v>625</v>
      </c>
      <c r="B34" s="364"/>
      <c r="C34" s="364"/>
      <c r="D34" s="289">
        <f>'Valuation output'!B36+'Valuation output'!B37</f>
        <v>22896</v>
      </c>
      <c r="E34" s="289"/>
      <c r="F34" s="274"/>
      <c r="G34" s="274"/>
      <c r="H34" s="376"/>
      <c r="I34" s="376"/>
      <c r="J34" s="376"/>
      <c r="K34" s="376"/>
    </row>
    <row r="35" spans="1:11" ht="18">
      <c r="A35" s="364" t="s">
        <v>545</v>
      </c>
      <c r="B35" s="364"/>
      <c r="C35" s="364"/>
      <c r="D35" s="289">
        <f>'Valuation output'!B38+'Valuation output'!B39</f>
        <v>99747</v>
      </c>
      <c r="E35" s="361" t="s">
        <v>811</v>
      </c>
      <c r="F35" s="362"/>
      <c r="G35" s="363"/>
      <c r="H35" s="376"/>
      <c r="I35" s="376"/>
      <c r="J35" s="376"/>
      <c r="K35" s="376"/>
    </row>
    <row r="36" spans="1:11" ht="18">
      <c r="A36" s="364" t="s">
        <v>47</v>
      </c>
      <c r="B36" s="364"/>
      <c r="C36" s="364"/>
      <c r="D36" s="289">
        <f>D32-D33-D34+D35</f>
        <v>1301299.0064890804</v>
      </c>
      <c r="E36" s="289"/>
      <c r="F36" s="274"/>
      <c r="G36" s="274"/>
      <c r="H36" s="376"/>
      <c r="I36" s="376"/>
      <c r="J36" s="376"/>
      <c r="K36" s="376"/>
    </row>
    <row r="37" spans="1:11" ht="18">
      <c r="A37" s="364" t="s">
        <v>546</v>
      </c>
      <c r="B37" s="364"/>
      <c r="C37" s="364"/>
      <c r="D37" s="289">
        <f>'Valuation output'!B41</f>
        <v>0</v>
      </c>
      <c r="E37" s="289"/>
      <c r="F37" s="274"/>
      <c r="G37" s="274"/>
      <c r="H37" s="376"/>
      <c r="I37" s="376"/>
      <c r="J37" s="376"/>
      <c r="K37" s="376"/>
    </row>
    <row r="38" spans="1:11" ht="18">
      <c r="A38" s="364" t="s">
        <v>541</v>
      </c>
      <c r="B38" s="364"/>
      <c r="C38" s="364"/>
      <c r="D38" s="291">
        <f ca="1">'Valuation output'!B43</f>
        <v>13301.954376318596</v>
      </c>
      <c r="E38" s="361" t="s">
        <v>812</v>
      </c>
      <c r="F38" s="362"/>
      <c r="G38" s="363"/>
      <c r="H38" s="376"/>
      <c r="I38" s="376"/>
      <c r="J38" s="376"/>
      <c r="K38" s="376"/>
    </row>
    <row r="39" spans="1:11" ht="18">
      <c r="A39" s="364" t="s">
        <v>519</v>
      </c>
      <c r="B39" s="364"/>
      <c r="C39" s="364"/>
      <c r="D39" s="292">
        <f ca="1">(D36-D37)/D38</f>
        <v>97.827655220782944</v>
      </c>
      <c r="E39" s="361" t="s">
        <v>813</v>
      </c>
      <c r="F39" s="362"/>
      <c r="G39" s="363"/>
      <c r="H39" s="376"/>
      <c r="I39" s="376"/>
      <c r="J39" s="376"/>
      <c r="K39" s="376"/>
    </row>
  </sheetData>
  <mergeCells count="25">
    <mergeCell ref="E38:G38"/>
    <mergeCell ref="E39:G39"/>
    <mergeCell ref="A36:C36"/>
    <mergeCell ref="A1:G1"/>
    <mergeCell ref="A7:G7"/>
    <mergeCell ref="A15:G15"/>
    <mergeCell ref="A28:G28"/>
    <mergeCell ref="A30:C30"/>
    <mergeCell ref="A2:F2"/>
    <mergeCell ref="E35:G35"/>
    <mergeCell ref="A37:C37"/>
    <mergeCell ref="A29:C29"/>
    <mergeCell ref="A3:G6"/>
    <mergeCell ref="H3:K6"/>
    <mergeCell ref="H9:K14"/>
    <mergeCell ref="H16:K27"/>
    <mergeCell ref="H29:K39"/>
    <mergeCell ref="E33:F33"/>
    <mergeCell ref="A38:C38"/>
    <mergeCell ref="A39:C39"/>
    <mergeCell ref="A33:C33"/>
    <mergeCell ref="A32:C32"/>
    <mergeCell ref="A31:C31"/>
    <mergeCell ref="A34:C34"/>
    <mergeCell ref="A35:C35"/>
  </mergeCells>
  <pageMargins left="0.75" right="0.75" top="1" bottom="1" header="0.3" footer="0.3"/>
  <pageSetup orientation="portrait" horizontalDpi="0" verticalDpi="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6"/>
  <sheetViews>
    <sheetView zoomScale="125" zoomScaleNormal="125" workbookViewId="0">
      <selection activeCell="B7" sqref="B7"/>
    </sheetView>
  </sheetViews>
  <sheetFormatPr baseColWidth="10" defaultRowHeight="16"/>
  <cols>
    <col min="1" max="1" width="61.6640625" style="5" customWidth="1"/>
    <col min="2" max="2" width="43.83203125" style="5" customWidth="1"/>
    <col min="3" max="3" width="68" style="5" bestFit="1" customWidth="1"/>
    <col min="4" max="16384" width="10.83203125" style="5"/>
  </cols>
  <sheetData>
    <row r="1" spans="1:4" s="121" customFormat="1" ht="13">
      <c r="A1" s="123" t="s">
        <v>90</v>
      </c>
      <c r="B1" s="124"/>
    </row>
    <row r="2" spans="1:4" s="121" customFormat="1" ht="13">
      <c r="A2" s="124" t="s">
        <v>7</v>
      </c>
      <c r="B2" s="125">
        <f>'Valuation output'!B53</f>
        <v>53191.199999999997</v>
      </c>
    </row>
    <row r="3" spans="1:4" s="121" customFormat="1" ht="13">
      <c r="A3" s="124" t="s">
        <v>8</v>
      </c>
      <c r="B3" s="125">
        <f>'Valuation output'!L53</f>
        <v>63167.311111111107</v>
      </c>
    </row>
    <row r="4" spans="1:4" s="121" customFormat="1" ht="13">
      <c r="A4" s="124" t="s">
        <v>9</v>
      </c>
      <c r="B4" s="125">
        <f>B3-B2</f>
        <v>9976.1111111111095</v>
      </c>
    </row>
    <row r="5" spans="1:4" s="121" customFormat="1" ht="13">
      <c r="A5" s="124" t="s">
        <v>10</v>
      </c>
      <c r="B5" s="125">
        <f>'Valuation output'!L12-'Valuation output'!B12</f>
        <v>155979.79999999999</v>
      </c>
    </row>
    <row r="6" spans="1:4" s="121" customFormat="1" ht="13">
      <c r="A6" s="124" t="s">
        <v>4</v>
      </c>
      <c r="B6" s="126">
        <f>B5/B4</f>
        <v>15.635331068664032</v>
      </c>
    </row>
    <row r="7" spans="1:4" s="121" customFormat="1" ht="13">
      <c r="A7" s="124" t="s">
        <v>5</v>
      </c>
      <c r="B7" s="126">
        <f>'Valuation output'!L54</f>
        <v>1.8997167663021206</v>
      </c>
    </row>
    <row r="8" spans="1:4" s="121" customFormat="1" ht="13">
      <c r="A8" s="124" t="s">
        <v>233</v>
      </c>
      <c r="B8" s="126">
        <f>(1/'Valuation output'!L24)^(1/10)-1</f>
        <v>8.3371422798527384E-2</v>
      </c>
    </row>
    <row r="9" spans="1:4" s="121" customFormat="1" ht="14" thickBot="1">
      <c r="A9" s="127" t="s">
        <v>25</v>
      </c>
      <c r="B9" s="128">
        <f ca="1">'Valuation output'!B44/'Valuation output'!B45</f>
        <v>0.7246492979317255</v>
      </c>
    </row>
    <row r="10" spans="1:4" s="121" customFormat="1" ht="14" thickBot="1">
      <c r="A10" s="129"/>
      <c r="B10" s="392" t="str">
        <f ca="1">IF(B9="NA","Value is negative. See below",IF(B9&gt;2,"Value seems high. See below",IF(B9&lt;0.5,"Value seems low. See below"," ")))</f>
        <v xml:space="preserve"> </v>
      </c>
      <c r="C10" s="393"/>
    </row>
    <row r="11" spans="1:4" s="8" customFormat="1" ht="14">
      <c r="A11" s="182" t="s">
        <v>6</v>
      </c>
      <c r="B11" s="183" t="s">
        <v>0</v>
      </c>
      <c r="C11" s="184" t="s">
        <v>1</v>
      </c>
    </row>
    <row r="12" spans="1:4" s="8" customFormat="1" ht="14">
      <c r="A12" s="193" t="s">
        <v>147</v>
      </c>
      <c r="B12" s="185" t="s">
        <v>2</v>
      </c>
      <c r="C12" s="186" t="s">
        <v>3</v>
      </c>
    </row>
    <row r="13" spans="1:4" s="8" customFormat="1" ht="14">
      <c r="A13" s="193" t="s">
        <v>148</v>
      </c>
      <c r="B13" s="187" t="s">
        <v>145</v>
      </c>
      <c r="C13" s="188" t="s">
        <v>146</v>
      </c>
      <c r="D13" s="8" t="s">
        <v>152</v>
      </c>
    </row>
    <row r="14" spans="1:4" s="8" customFormat="1" ht="13">
      <c r="A14" s="194" t="s">
        <v>149</v>
      </c>
      <c r="B14" s="189" t="s">
        <v>143</v>
      </c>
      <c r="C14" s="190" t="s">
        <v>144</v>
      </c>
      <c r="D14" s="8" t="s">
        <v>152</v>
      </c>
    </row>
    <row r="15" spans="1:4" s="8" customFormat="1" ht="14" thickBot="1">
      <c r="A15" s="195" t="s">
        <v>154</v>
      </c>
      <c r="B15" s="191" t="s">
        <v>150</v>
      </c>
      <c r="C15" s="192" t="s">
        <v>151</v>
      </c>
      <c r="D15" s="8" t="s">
        <v>153</v>
      </c>
    </row>
    <row r="16" spans="1:4">
      <c r="B16" s="68"/>
    </row>
  </sheetData>
  <mergeCells count="1">
    <mergeCell ref="B10:C10"/>
  </mergeCells>
  <phoneticPr fontId="6"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722C6-73EA-F540-9EDF-0DF58AAAB5A5}">
  <dimension ref="A1:C5"/>
  <sheetViews>
    <sheetView zoomScale="75" workbookViewId="0">
      <selection activeCell="B2" sqref="B2"/>
    </sheetView>
  </sheetViews>
  <sheetFormatPr baseColWidth="10" defaultRowHeight="13"/>
  <cols>
    <col min="1" max="1" width="23.5" customWidth="1"/>
    <col min="2" max="2" width="12.5" bestFit="1" customWidth="1"/>
  </cols>
  <sheetData>
    <row r="1" spans="1:3">
      <c r="A1" t="s">
        <v>731</v>
      </c>
      <c r="B1" t="s">
        <v>730</v>
      </c>
    </row>
    <row r="2" spans="1:3">
      <c r="A2" t="s">
        <v>802</v>
      </c>
      <c r="B2" s="295">
        <v>370536</v>
      </c>
    </row>
    <row r="3" spans="1:3">
      <c r="A3" t="s">
        <v>803</v>
      </c>
      <c r="B3" s="295">
        <f>C3-B2</f>
        <v>80684</v>
      </c>
      <c r="C3">
        <v>451220</v>
      </c>
    </row>
    <row r="4" spans="1:3">
      <c r="A4" t="s">
        <v>804</v>
      </c>
      <c r="B4" s="295">
        <f>C4-B2</f>
        <v>53681</v>
      </c>
      <c r="C4">
        <v>424217</v>
      </c>
    </row>
    <row r="5" spans="1:3">
      <c r="A5" t="s">
        <v>805</v>
      </c>
      <c r="B5" s="295">
        <f>C5-B2</f>
        <v>119979</v>
      </c>
      <c r="C5">
        <v>490515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7"/>
  <sheetViews>
    <sheetView workbookViewId="0">
      <selection activeCell="G31" sqref="G31"/>
    </sheetView>
  </sheetViews>
  <sheetFormatPr baseColWidth="10" defaultRowHeight="13"/>
  <sheetData>
    <row r="1" spans="1:7" s="7" customFormat="1" ht="19">
      <c r="A1" s="6" t="s">
        <v>55</v>
      </c>
      <c r="B1" s="6"/>
    </row>
    <row r="2" spans="1:7" ht="14">
      <c r="A2" s="8" t="s">
        <v>56</v>
      </c>
      <c r="B2" s="8"/>
      <c r="D2" s="28">
        <f ca="1">'Valuation output'!B44</f>
        <v>97.827655220782944</v>
      </c>
    </row>
    <row r="3" spans="1:7" ht="14">
      <c r="A3" s="8" t="s">
        <v>57</v>
      </c>
      <c r="B3" s="8"/>
      <c r="D3" s="9">
        <f>'Input sheet'!B46</f>
        <v>27.716666666666669</v>
      </c>
    </row>
    <row r="4" spans="1:7" ht="14">
      <c r="A4" s="8" t="s">
        <v>58</v>
      </c>
      <c r="B4" s="8"/>
      <c r="D4" s="12">
        <f>'Input sheet'!B47</f>
        <v>6.11</v>
      </c>
    </row>
    <row r="5" spans="1:7" ht="14">
      <c r="A5" s="8" t="s">
        <v>59</v>
      </c>
      <c r="B5" s="8"/>
      <c r="D5" s="10">
        <f>'Input sheet'!B48</f>
        <v>0.4</v>
      </c>
      <c r="E5" s="8" t="s">
        <v>60</v>
      </c>
    </row>
    <row r="6" spans="1:7" ht="14">
      <c r="A6" s="8" t="s">
        <v>61</v>
      </c>
      <c r="B6" s="8"/>
      <c r="D6" s="11">
        <v>0</v>
      </c>
    </row>
    <row r="7" spans="1:7" ht="14">
      <c r="A7" s="8" t="s">
        <v>62</v>
      </c>
      <c r="B7" s="8"/>
      <c r="D7" s="11">
        <f>'Input sheet'!B41</f>
        <v>4.5600000000000002E-2</v>
      </c>
    </row>
    <row r="8" spans="1:7" ht="14">
      <c r="A8" s="8" t="s">
        <v>63</v>
      </c>
      <c r="B8" s="8"/>
      <c r="D8" s="12">
        <f>'Input sheet'!B45</f>
        <v>347.37</v>
      </c>
    </row>
    <row r="9" spans="1:7" ht="14">
      <c r="A9" s="8" t="s">
        <v>64</v>
      </c>
      <c r="B9" s="8"/>
      <c r="D9" s="13">
        <f>'Input sheet'!B21</f>
        <v>12535.3</v>
      </c>
    </row>
    <row r="10" spans="1:7" ht="14">
      <c r="A10" s="8"/>
      <c r="B10" s="8"/>
    </row>
    <row r="11" spans="1:7" s="16" customFormat="1" ht="14">
      <c r="A11" s="14" t="s">
        <v>65</v>
      </c>
      <c r="B11" s="15"/>
    </row>
    <row r="12" spans="1:7" s="8" customFormat="1">
      <c r="A12" s="17" t="s">
        <v>66</v>
      </c>
    </row>
    <row r="13" spans="1:7" s="8" customFormat="1">
      <c r="A13" s="8" t="s">
        <v>67</v>
      </c>
      <c r="C13" s="18">
        <f ca="1">D2</f>
        <v>97.827655220782944</v>
      </c>
      <c r="D13" s="8" t="s">
        <v>68</v>
      </c>
      <c r="F13" s="19">
        <f>D8</f>
        <v>347.37</v>
      </c>
      <c r="G13" s="20"/>
    </row>
    <row r="14" spans="1:7" s="8" customFormat="1">
      <c r="A14" s="8" t="s">
        <v>69</v>
      </c>
      <c r="C14" s="18">
        <f>D3</f>
        <v>27.716666666666669</v>
      </c>
      <c r="D14" s="8" t="s">
        <v>70</v>
      </c>
      <c r="F14" s="21">
        <f>D9</f>
        <v>12535.3</v>
      </c>
      <c r="G14" s="20"/>
    </row>
    <row r="15" spans="1:7" s="8" customFormat="1">
      <c r="A15" s="8" t="s">
        <v>71</v>
      </c>
      <c r="C15" s="18" t="e">
        <f ca="1">(C13*F14+C26*F13)/(F14+F13)</f>
        <v>#VALUE!</v>
      </c>
      <c r="D15" s="8" t="s">
        <v>72</v>
      </c>
      <c r="F15" s="22">
        <f>D7</f>
        <v>4.5600000000000002E-2</v>
      </c>
    </row>
    <row r="16" spans="1:7" s="8" customFormat="1">
      <c r="A16" s="8" t="s">
        <v>73</v>
      </c>
      <c r="C16" s="18">
        <f>C14</f>
        <v>27.716666666666669</v>
      </c>
      <c r="D16" s="8" t="s">
        <v>74</v>
      </c>
      <c r="F16" s="23">
        <f>D5^2</f>
        <v>0.16000000000000003</v>
      </c>
    </row>
    <row r="17" spans="1:7" s="8" customFormat="1">
      <c r="A17" s="8" t="s">
        <v>75</v>
      </c>
      <c r="C17" s="18">
        <f>D4</f>
        <v>6.11</v>
      </c>
      <c r="D17" s="8" t="s">
        <v>76</v>
      </c>
      <c r="F17" s="22">
        <f>D6</f>
        <v>0</v>
      </c>
    </row>
    <row r="18" spans="1:7" s="8" customFormat="1">
      <c r="C18" s="17"/>
      <c r="D18" s="8" t="s">
        <v>77</v>
      </c>
      <c r="F18" s="24">
        <f>F15-F17</f>
        <v>4.5600000000000002E-2</v>
      </c>
    </row>
    <row r="19" spans="1:7" s="8" customFormat="1"/>
    <row r="20" spans="1:7" s="8" customFormat="1">
      <c r="A20" s="8" t="s">
        <v>78</v>
      </c>
      <c r="B20" s="19" t="e">
        <f ca="1">(LN(C15/C16)+(F18+(F16/2))*C17)/(((F16)^(0.5))*(C17^0.5))</f>
        <v>#VALUE!</v>
      </c>
    </row>
    <row r="21" spans="1:7" s="8" customFormat="1">
      <c r="A21" s="8" t="s">
        <v>79</v>
      </c>
      <c r="B21" s="19" t="e">
        <f ca="1">NORMSDIST(B20)</f>
        <v>#VALUE!</v>
      </c>
    </row>
    <row r="22" spans="1:7" s="8" customFormat="1"/>
    <row r="23" spans="1:7" s="8" customFormat="1" ht="15.75" customHeight="1">
      <c r="A23" s="8" t="s">
        <v>80</v>
      </c>
      <c r="B23" s="19" t="e">
        <f ca="1">B20-((F16^0.5)*(C17^(0.5)))</f>
        <v>#VALUE!</v>
      </c>
    </row>
    <row r="24" spans="1:7" s="8" customFormat="1">
      <c r="A24" s="8" t="s">
        <v>81</v>
      </c>
      <c r="B24" s="19" t="e">
        <f ca="1">NORMSDIST(B23)</f>
        <v>#VALUE!</v>
      </c>
    </row>
    <row r="25" spans="1:7" ht="15" thickBot="1">
      <c r="A25" s="8"/>
      <c r="B25" s="8"/>
    </row>
    <row r="26" spans="1:7" s="8" customFormat="1" ht="14" thickBot="1">
      <c r="A26" s="8" t="s">
        <v>82</v>
      </c>
      <c r="C26" s="25" t="e">
        <f ca="1">((EXP((0-F17)*C17))*C15*B21-C16*(EXP((0-F15)*C17))*B24)</f>
        <v>#VALUE!</v>
      </c>
      <c r="G26" s="26"/>
    </row>
    <row r="27" spans="1:7" s="8" customFormat="1" ht="14" thickBot="1">
      <c r="A27" s="8" t="s">
        <v>83</v>
      </c>
      <c r="D27" s="27" t="e">
        <f ca="1">C26*D8</f>
        <v>#VALUE!</v>
      </c>
    </row>
  </sheetData>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64"/>
  <sheetViews>
    <sheetView workbookViewId="0">
      <selection activeCell="E48" sqref="E48"/>
    </sheetView>
  </sheetViews>
  <sheetFormatPr baseColWidth="10" defaultRowHeight="13"/>
  <cols>
    <col min="1" max="1" width="40.1640625" bestFit="1" customWidth="1"/>
    <col min="2" max="2" width="17.33203125" bestFit="1" customWidth="1"/>
    <col min="7" max="7" width="19.5" bestFit="1" customWidth="1"/>
    <col min="8" max="8" width="16.33203125" customWidth="1"/>
    <col min="11" max="11" width="18.1640625" bestFit="1" customWidth="1"/>
  </cols>
  <sheetData>
    <row r="1" spans="1:17">
      <c r="A1" s="395" t="s">
        <v>608</v>
      </c>
      <c r="B1" s="395"/>
      <c r="C1" s="395"/>
      <c r="D1" s="395"/>
      <c r="E1" s="395"/>
      <c r="F1" s="395"/>
      <c r="G1" s="395"/>
      <c r="H1" s="395"/>
      <c r="I1" s="395"/>
      <c r="J1" s="395"/>
      <c r="K1" s="395"/>
    </row>
    <row r="2" spans="1:17">
      <c r="A2" s="395"/>
      <c r="B2" s="395"/>
      <c r="C2" s="395"/>
      <c r="D2" s="395"/>
      <c r="E2" s="395"/>
      <c r="F2" s="395"/>
      <c r="G2" s="395"/>
      <c r="H2" s="395"/>
      <c r="I2" s="395"/>
      <c r="J2" s="395"/>
      <c r="K2" s="395"/>
    </row>
    <row r="3" spans="1:17" s="93" customFormat="1" ht="18">
      <c r="A3" s="93" t="s">
        <v>176</v>
      </c>
      <c r="B3" s="212"/>
      <c r="C3" s="206"/>
      <c r="G3" s="106" t="s">
        <v>503</v>
      </c>
    </row>
    <row r="4" spans="1:17" s="14" customFormat="1" ht="15" customHeight="1">
      <c r="A4" s="14" t="s">
        <v>6</v>
      </c>
      <c r="B4" s="211"/>
      <c r="C4" s="206"/>
      <c r="G4" s="138" t="s">
        <v>347</v>
      </c>
      <c r="H4" s="138" t="s">
        <v>11</v>
      </c>
      <c r="I4" s="138" t="s">
        <v>373</v>
      </c>
      <c r="J4" s="138" t="s">
        <v>375</v>
      </c>
      <c r="K4" s="138" t="s">
        <v>374</v>
      </c>
    </row>
    <row r="5" spans="1:17" s="8" customFormat="1" ht="15" customHeight="1">
      <c r="A5" s="17" t="s">
        <v>177</v>
      </c>
      <c r="G5" s="136" t="s">
        <v>372</v>
      </c>
      <c r="H5" s="248">
        <v>15207</v>
      </c>
      <c r="I5" s="100">
        <f>IF(H5=0,0,VLOOKUP(G5,'Country equity risk premiums'!$A$5:$D$190,4))</f>
        <v>4.4600000000000001E-2</v>
      </c>
      <c r="J5" s="100">
        <f t="shared" ref="J5:J12" si="0">IF(H5&gt;0,H5/$H$18,)</f>
        <v>0.48221080669710809</v>
      </c>
      <c r="K5" s="100">
        <f t="shared" ref="K5:K12" si="1">IF(J5=0,0,I5*J5)</f>
        <v>2.1506601978691021E-2</v>
      </c>
      <c r="M5" s="394" t="s">
        <v>555</v>
      </c>
      <c r="N5" s="394"/>
      <c r="O5" s="394"/>
      <c r="P5" s="394"/>
      <c r="Q5" s="394"/>
    </row>
    <row r="6" spans="1:17" s="8" customFormat="1" ht="15" customHeight="1">
      <c r="A6" s="8" t="s">
        <v>178</v>
      </c>
      <c r="B6" s="97">
        <f>'Input sheet'!B21</f>
        <v>12535.3</v>
      </c>
      <c r="G6" s="136" t="s">
        <v>266</v>
      </c>
      <c r="H6" s="248">
        <v>6662</v>
      </c>
      <c r="I6" s="100">
        <f>IF(H6=0,0,VLOOKUP(G6,'Country equity risk premiums'!$A$5:$D$190,4))</f>
        <v>5.1400000000000001E-2</v>
      </c>
      <c r="J6" s="100">
        <f t="shared" si="0"/>
        <v>0.21125063419583967</v>
      </c>
      <c r="K6" s="100">
        <f t="shared" si="1"/>
        <v>1.085828259766616E-2</v>
      </c>
      <c r="M6" s="394"/>
      <c r="N6" s="394"/>
      <c r="O6" s="394"/>
      <c r="P6" s="394"/>
      <c r="Q6" s="394"/>
    </row>
    <row r="7" spans="1:17" s="8" customFormat="1" ht="15" customHeight="1">
      <c r="A7" s="8" t="s">
        <v>179</v>
      </c>
      <c r="B7" s="98">
        <f>'Input sheet'!B22</f>
        <v>135</v>
      </c>
      <c r="G7" s="136"/>
      <c r="H7" s="248"/>
      <c r="I7" s="100">
        <f>IF(H7=0,0,VLOOKUP(G7,'Country equity risk premiums'!$A$5:$D$190,4))</f>
        <v>0</v>
      </c>
      <c r="J7" s="100">
        <f t="shared" si="0"/>
        <v>0</v>
      </c>
      <c r="K7" s="100">
        <f t="shared" si="1"/>
        <v>0</v>
      </c>
      <c r="M7" s="394"/>
      <c r="N7" s="394"/>
      <c r="O7" s="394"/>
      <c r="P7" s="394"/>
      <c r="Q7" s="394"/>
    </row>
    <row r="8" spans="1:17" s="8" customFormat="1" ht="15" customHeight="1">
      <c r="G8" s="136"/>
      <c r="H8" s="248"/>
      <c r="I8" s="100">
        <f>IF(H8=0,0,VLOOKUP(G8,'Country equity risk premiums'!$A$5:$D$190,4))</f>
        <v>0</v>
      </c>
      <c r="J8" s="100">
        <f t="shared" si="0"/>
        <v>0</v>
      </c>
      <c r="K8" s="100">
        <f t="shared" si="1"/>
        <v>0</v>
      </c>
      <c r="M8" s="394"/>
      <c r="N8" s="394"/>
      <c r="O8" s="394"/>
      <c r="P8" s="394"/>
      <c r="Q8" s="394"/>
    </row>
    <row r="9" spans="1:17" s="8" customFormat="1" ht="15" customHeight="1">
      <c r="A9" s="8" t="s">
        <v>467</v>
      </c>
      <c r="B9" s="136" t="s">
        <v>472</v>
      </c>
      <c r="G9" s="136"/>
      <c r="H9" s="136"/>
      <c r="I9" s="100">
        <f>IF(H9=0,0,VLOOKUP(G9,'Country equity risk premiums'!$A$5:$D$190,4))</f>
        <v>0</v>
      </c>
      <c r="J9" s="100">
        <f t="shared" si="0"/>
        <v>0</v>
      </c>
      <c r="K9" s="100">
        <f t="shared" si="1"/>
        <v>0</v>
      </c>
      <c r="M9" s="394"/>
      <c r="N9" s="394"/>
      <c r="O9" s="394"/>
      <c r="P9" s="394"/>
      <c r="Q9" s="394"/>
    </row>
    <row r="10" spans="1:17" s="8" customFormat="1" ht="15" customHeight="1">
      <c r="A10" s="8" t="s">
        <v>469</v>
      </c>
      <c r="B10" s="207">
        <v>1.2</v>
      </c>
      <c r="G10" s="136"/>
      <c r="H10" s="136"/>
      <c r="I10" s="100">
        <f>IF(H10=0,0,VLOOKUP(G10,'Country equity risk premiums'!$A$5:$D$190,4))</f>
        <v>0</v>
      </c>
      <c r="J10" s="100">
        <f t="shared" si="0"/>
        <v>0</v>
      </c>
      <c r="K10" s="100">
        <f t="shared" si="1"/>
        <v>0</v>
      </c>
      <c r="M10" s="394"/>
      <c r="N10" s="394"/>
      <c r="O10" s="394"/>
      <c r="P10" s="394"/>
      <c r="Q10" s="394"/>
    </row>
    <row r="11" spans="1:17" s="8" customFormat="1" ht="15" customHeight="1">
      <c r="A11" s="8" t="s">
        <v>204</v>
      </c>
      <c r="B11" s="141">
        <f>IF(B9="Single Business(US)",VLOOKUP('Input sheet'!B6,'Industry Average Beta (US)'!A2:G95,7),IF(B9="Multibusiness(US)",K48,IF(B9="Single Business(Global)",VLOOKUP('Input sheet'!B7,'Industry Average Beta (Global)'!A2:G95,7),'Cost of capital worksheet'!K64)))</f>
        <v>0.74540411944377261</v>
      </c>
      <c r="G11" s="136"/>
      <c r="H11" s="136"/>
      <c r="I11" s="100">
        <f>IF(H11=0,0,VLOOKUP(G11,'Country equity risk premiums'!$A$5:$D$190,4))</f>
        <v>0</v>
      </c>
      <c r="J11" s="100">
        <f t="shared" si="0"/>
        <v>0</v>
      </c>
      <c r="K11" s="100">
        <f t="shared" si="1"/>
        <v>0</v>
      </c>
      <c r="M11" s="394"/>
      <c r="N11" s="394"/>
      <c r="O11" s="394"/>
      <c r="P11" s="394"/>
      <c r="Q11" s="394"/>
    </row>
    <row r="12" spans="1:17" s="8" customFormat="1" ht="15" customHeight="1">
      <c r="A12" s="8" t="s">
        <v>180</v>
      </c>
      <c r="B12" s="102">
        <f>'Input sheet'!B41</f>
        <v>4.5600000000000002E-2</v>
      </c>
      <c r="G12" s="136"/>
      <c r="H12" s="136"/>
      <c r="I12" s="100">
        <f>IF(H12=0,0,VLOOKUP(G12,'Country equity risk premiums'!$A$5:$D$190,4))</f>
        <v>0</v>
      </c>
      <c r="J12" s="100">
        <f t="shared" si="0"/>
        <v>0</v>
      </c>
      <c r="K12" s="100">
        <f t="shared" si="1"/>
        <v>0</v>
      </c>
      <c r="M12" s="394"/>
      <c r="N12" s="394"/>
      <c r="O12" s="394"/>
      <c r="P12" s="394"/>
      <c r="Q12" s="394"/>
    </row>
    <row r="13" spans="1:17" s="8" customFormat="1" ht="15" customHeight="1">
      <c r="A13" s="8" t="s">
        <v>433</v>
      </c>
      <c r="B13" s="200" t="s">
        <v>436</v>
      </c>
      <c r="G13" s="136"/>
      <c r="H13" s="136"/>
      <c r="I13" s="100">
        <f>IF(H13=0,0,VLOOKUP(G13,'Country equity risk premiums'!$A$5:$D$190,4))</f>
        <v>0</v>
      </c>
      <c r="J13" s="100">
        <f>IF(H13&gt;0,H13/$H$18,)</f>
        <v>0</v>
      </c>
      <c r="K13" s="100">
        <f>IF(J13=0,0,I13*J13)</f>
        <v>0</v>
      </c>
      <c r="M13" s="394"/>
      <c r="N13" s="394"/>
      <c r="O13" s="394"/>
      <c r="P13" s="394"/>
      <c r="Q13" s="394"/>
    </row>
    <row r="14" spans="1:17" s="8" customFormat="1" ht="15" customHeight="1">
      <c r="A14" s="8" t="s">
        <v>439</v>
      </c>
      <c r="B14" s="200">
        <v>0.06</v>
      </c>
      <c r="G14" s="136"/>
      <c r="H14" s="136"/>
      <c r="I14" s="100">
        <f>IF(H14=0,0,VLOOKUP(G14,'Country equity risk premiums'!$A$5:$D$190,4))</f>
        <v>0</v>
      </c>
      <c r="J14" s="100">
        <f>IF(H14&gt;0,H14/$H$18,)</f>
        <v>0</v>
      </c>
      <c r="K14" s="100">
        <f>IF(J14=0,0,I14*J14)</f>
        <v>0</v>
      </c>
      <c r="M14" s="394"/>
      <c r="N14" s="394"/>
      <c r="O14" s="394"/>
      <c r="P14" s="394"/>
      <c r="Q14" s="394"/>
    </row>
    <row r="15" spans="1:17" s="8" customFormat="1" ht="15" customHeight="1">
      <c r="A15" s="8" t="s">
        <v>440</v>
      </c>
      <c r="B15" s="201">
        <f>IF(B13="Will Input",B14,IF(B13="Country of Incorporation",VLOOKUP('Input sheet'!B5,'Country equity risk premiums'!A5:E190,4),IF(B13="Operating regions",'Cost of capital worksheet'!K32,'Cost of capital worksheet'!K18)))</f>
        <v>5.1308967529173008E-2</v>
      </c>
      <c r="G15" s="136"/>
      <c r="H15" s="136"/>
      <c r="I15" s="100">
        <f>IF(H15=0,0,VLOOKUP(G15,'Country equity risk premiums'!$A$5:$D$190,4))</f>
        <v>0</v>
      </c>
      <c r="J15" s="100">
        <f>IF(H15&gt;0,H15/$H$18,)</f>
        <v>0</v>
      </c>
      <c r="K15" s="100">
        <f>IF(J15=0,0,I15*J15)</f>
        <v>0</v>
      </c>
      <c r="M15" s="394"/>
      <c r="N15" s="394"/>
      <c r="O15" s="394"/>
      <c r="P15" s="394"/>
      <c r="Q15" s="394"/>
    </row>
    <row r="16" spans="1:17" s="8" customFormat="1" ht="15" customHeight="1">
      <c r="G16" s="234" t="s">
        <v>611</v>
      </c>
      <c r="H16" s="136">
        <v>9667</v>
      </c>
      <c r="I16" s="242">
        <v>6.1800000000000001E-2</v>
      </c>
      <c r="J16" s="100">
        <f>IF(H16&gt;0,H16/$H$18,)</f>
        <v>0.30653855910705224</v>
      </c>
      <c r="K16" s="100">
        <f>IF(J16=0,0,I16*J16)</f>
        <v>1.8944082952815827E-2</v>
      </c>
      <c r="M16" s="394"/>
      <c r="N16" s="394"/>
      <c r="O16" s="394"/>
      <c r="P16" s="394"/>
      <c r="Q16" s="394"/>
    </row>
    <row r="17" spans="1:17" s="8" customFormat="1" ht="15" customHeight="1">
      <c r="A17" s="17" t="s">
        <v>181</v>
      </c>
      <c r="G17" s="234"/>
      <c r="H17" s="136"/>
      <c r="I17" s="234"/>
      <c r="J17" s="100">
        <f>IF(H17&gt;0,H17/$H$18,)</f>
        <v>0</v>
      </c>
      <c r="K17" s="100">
        <f>IF(J17=0,0,I17*J17)</f>
        <v>0</v>
      </c>
      <c r="M17" s="394"/>
      <c r="N17" s="394"/>
      <c r="O17" s="394"/>
      <c r="P17" s="394"/>
      <c r="Q17" s="394"/>
    </row>
    <row r="18" spans="1:17" s="8" customFormat="1" ht="15" customHeight="1">
      <c r="A18" s="8" t="s">
        <v>182</v>
      </c>
      <c r="B18" s="98">
        <f>'Input sheet'!B14</f>
        <v>22896</v>
      </c>
      <c r="G18" s="137" t="s">
        <v>376</v>
      </c>
      <c r="H18" s="137">
        <f>SUM(H5:H17)</f>
        <v>31536</v>
      </c>
      <c r="I18" s="137"/>
      <c r="J18" s="100">
        <f>SUM(J5:J17)</f>
        <v>1</v>
      </c>
      <c r="K18" s="100">
        <f>SUM(K5:K17)</f>
        <v>5.1308967529173008E-2</v>
      </c>
      <c r="M18" s="394"/>
      <c r="N18" s="394"/>
      <c r="O18" s="394"/>
      <c r="P18" s="394"/>
      <c r="Q18" s="394"/>
    </row>
    <row r="19" spans="1:17" s="8" customFormat="1" ht="15" customHeight="1">
      <c r="A19" s="8" t="s">
        <v>183</v>
      </c>
      <c r="B19" s="98">
        <f>'Input sheet'!B12</f>
        <v>1945</v>
      </c>
      <c r="G19" s="106" t="s">
        <v>441</v>
      </c>
      <c r="M19" s="394"/>
      <c r="N19" s="394"/>
      <c r="O19" s="394"/>
      <c r="P19" s="394"/>
      <c r="Q19" s="394"/>
    </row>
    <row r="20" spans="1:17" s="8" customFormat="1" ht="15" customHeight="1">
      <c r="A20" s="8" t="s">
        <v>184</v>
      </c>
      <c r="B20" s="94">
        <v>3</v>
      </c>
      <c r="G20" s="19" t="s">
        <v>350</v>
      </c>
      <c r="H20" s="19" t="s">
        <v>11</v>
      </c>
      <c r="I20" s="19" t="s">
        <v>373</v>
      </c>
      <c r="J20" s="19" t="s">
        <v>375</v>
      </c>
      <c r="K20" s="19" t="s">
        <v>374</v>
      </c>
    </row>
    <row r="21" spans="1:17" s="8" customFormat="1" ht="15" customHeight="1">
      <c r="A21" s="8" t="s">
        <v>446</v>
      </c>
      <c r="B21" s="109" t="s">
        <v>445</v>
      </c>
      <c r="G21" s="19" t="str">
        <f>'Country equity risk premiums'!A194</f>
        <v>Yemen</v>
      </c>
      <c r="H21" s="136">
        <v>0</v>
      </c>
      <c r="I21" s="24" t="str">
        <f>'Country equity risk premiums'!B194</f>
        <v>NR</v>
      </c>
      <c r="J21" s="100">
        <f t="shared" ref="J21:J29" si="2">H21/$H$32</f>
        <v>0</v>
      </c>
      <c r="K21" s="139" t="e">
        <f>I21*J21</f>
        <v>#VALUE!</v>
      </c>
    </row>
    <row r="22" spans="1:17" s="8" customFormat="1" ht="15" customHeight="1">
      <c r="A22" s="8" t="s">
        <v>448</v>
      </c>
      <c r="B22" s="202">
        <v>0.04</v>
      </c>
      <c r="G22" s="19" t="str">
        <f>'Country equity risk premiums'!A195</f>
        <v>Zambia</v>
      </c>
      <c r="H22" s="136">
        <f>3159+4281</f>
        <v>7440</v>
      </c>
      <c r="I22" s="24" t="str">
        <f>'Country equity risk premiums'!B195</f>
        <v>Caa2</v>
      </c>
      <c r="J22" s="100">
        <f t="shared" si="2"/>
        <v>7.3442312248282404E-2</v>
      </c>
      <c r="K22" s="139" t="e">
        <f t="shared" ref="K22:K29" si="3">I22*J22</f>
        <v>#VALUE!</v>
      </c>
    </row>
    <row r="23" spans="1:17" s="8" customFormat="1" ht="15" customHeight="1">
      <c r="A23" s="8" t="s">
        <v>447</v>
      </c>
      <c r="B23" s="109" t="s">
        <v>456</v>
      </c>
      <c r="G23" s="19" t="str">
        <f>'Country equity risk premiums'!A196</f>
        <v>Zimbabwe</v>
      </c>
      <c r="H23" s="136"/>
      <c r="I23" s="24" t="str">
        <f>'Country equity risk premiums'!B196</f>
        <v>NR</v>
      </c>
      <c r="J23" s="100">
        <f t="shared" si="2"/>
        <v>0</v>
      </c>
      <c r="K23" s="139" t="e">
        <f t="shared" si="3"/>
        <v>#VALUE!</v>
      </c>
    </row>
    <row r="24" spans="1:17" s="8" customFormat="1" ht="15" customHeight="1">
      <c r="A24" s="8" t="s">
        <v>464</v>
      </c>
      <c r="B24" s="109">
        <v>1</v>
      </c>
      <c r="G24" s="19">
        <f>'Country equity risk premiums'!A197</f>
        <v>0</v>
      </c>
      <c r="H24" s="136">
        <v>0</v>
      </c>
      <c r="I24" s="24">
        <f>'Country equity risk premiums'!B197</f>
        <v>0</v>
      </c>
      <c r="J24" s="100">
        <f t="shared" si="2"/>
        <v>0</v>
      </c>
      <c r="K24" s="139">
        <f t="shared" si="3"/>
        <v>0</v>
      </c>
    </row>
    <row r="25" spans="1:17" s="8" customFormat="1" ht="15" customHeight="1">
      <c r="A25" s="8" t="s">
        <v>118</v>
      </c>
      <c r="B25" s="201">
        <f>IF(B21="Direct Input",B22,IF(B21="Synthetic Rating",'Synthetic rating'!D13,B12+VLOOKUP('Cost of capital worksheet'!B23,'Synthetic rating'!G39:H53,2)))</f>
        <v>6.3994999999999996E-2</v>
      </c>
      <c r="G25" s="19">
        <f>'Country equity risk premiums'!A198</f>
        <v>0</v>
      </c>
      <c r="H25" s="136">
        <v>0</v>
      </c>
      <c r="I25" s="24">
        <f>'Country equity risk premiums'!B198</f>
        <v>0</v>
      </c>
      <c r="J25" s="100">
        <f t="shared" si="2"/>
        <v>0</v>
      </c>
      <c r="K25" s="139">
        <f t="shared" si="3"/>
        <v>0</v>
      </c>
    </row>
    <row r="26" spans="1:17" s="8" customFormat="1" ht="15" customHeight="1">
      <c r="A26" s="8" t="s">
        <v>185</v>
      </c>
      <c r="B26" s="204">
        <f>'Input sheet'!B24</f>
        <v>0.25</v>
      </c>
      <c r="G26" s="19">
        <f>'Country equity risk premiums'!A199</f>
        <v>0</v>
      </c>
      <c r="H26" s="136"/>
      <c r="I26" s="24">
        <f>'Country equity risk premiums'!B199</f>
        <v>0</v>
      </c>
      <c r="J26" s="100">
        <f t="shared" si="2"/>
        <v>0</v>
      </c>
      <c r="K26" s="139">
        <f t="shared" si="3"/>
        <v>0</v>
      </c>
    </row>
    <row r="27" spans="1:17" s="8" customFormat="1" ht="15" customHeight="1">
      <c r="G27" s="19" t="str">
        <f>'Country equity risk premiums'!A200</f>
        <v>Region</v>
      </c>
      <c r="H27" s="136">
        <v>0</v>
      </c>
      <c r="I27" s="24" t="str">
        <f>'Country equity risk premiums'!B200</f>
        <v>ERP</v>
      </c>
      <c r="J27" s="100">
        <f t="shared" si="2"/>
        <v>0</v>
      </c>
      <c r="K27" s="139" t="e">
        <f t="shared" si="3"/>
        <v>#VALUE!</v>
      </c>
    </row>
    <row r="28" spans="1:17" s="8" customFormat="1" ht="15" customHeight="1">
      <c r="A28" s="8" t="s">
        <v>186</v>
      </c>
      <c r="B28" s="94">
        <v>0</v>
      </c>
      <c r="G28" s="19" t="str">
        <f>'Country equity risk premiums'!A201</f>
        <v>Africa</v>
      </c>
      <c r="H28" s="136">
        <v>93864</v>
      </c>
      <c r="I28" s="24">
        <f>'Country equity risk premiums'!B201</f>
        <v>0.11949308050536839</v>
      </c>
      <c r="J28" s="100">
        <f t="shared" si="2"/>
        <v>0.92655768775171765</v>
      </c>
      <c r="K28" s="139">
        <f t="shared" si="3"/>
        <v>0.11071723237538399</v>
      </c>
    </row>
    <row r="29" spans="1:17" s="8" customFormat="1" ht="15" customHeight="1">
      <c r="A29" s="8" t="s">
        <v>187</v>
      </c>
      <c r="B29" s="94">
        <v>0</v>
      </c>
      <c r="G29" s="19" t="str">
        <f>'Country equity risk premiums'!A202</f>
        <v>Asia</v>
      </c>
      <c r="H29" s="136"/>
      <c r="I29" s="24">
        <f>'Country equity risk premiums'!B202</f>
        <v>5.7223235648452254E-2</v>
      </c>
      <c r="J29" s="100">
        <f t="shared" si="2"/>
        <v>0</v>
      </c>
      <c r="K29" s="139">
        <f t="shared" si="3"/>
        <v>0</v>
      </c>
    </row>
    <row r="30" spans="1:17" s="8" customFormat="1" ht="15" customHeight="1">
      <c r="A30" s="8" t="s">
        <v>188</v>
      </c>
      <c r="B30" s="94">
        <v>0</v>
      </c>
      <c r="G30" s="136"/>
      <c r="H30" s="136"/>
      <c r="I30" s="235"/>
      <c r="J30" s="100">
        <f>H30/$H$32</f>
        <v>0</v>
      </c>
      <c r="K30" s="139">
        <f>I30*J30</f>
        <v>0</v>
      </c>
    </row>
    <row r="31" spans="1:17" s="8" customFormat="1" ht="15" customHeight="1">
      <c r="A31" s="8" t="s">
        <v>189</v>
      </c>
      <c r="B31" s="94">
        <v>0</v>
      </c>
      <c r="G31" s="136"/>
      <c r="H31" s="136"/>
      <c r="I31" s="235"/>
      <c r="J31" s="100">
        <f>H31/$H$32</f>
        <v>0</v>
      </c>
      <c r="K31" s="139">
        <f>I31*J31</f>
        <v>0</v>
      </c>
    </row>
    <row r="32" spans="1:17" s="8" customFormat="1" ht="15" customHeight="1">
      <c r="G32" s="137" t="s">
        <v>376</v>
      </c>
      <c r="H32" s="137">
        <f>SUM(H21:H31)</f>
        <v>101304</v>
      </c>
      <c r="I32" s="102"/>
      <c r="J32" s="100">
        <f>SUM(J21:J31)</f>
        <v>1</v>
      </c>
      <c r="K32" s="140" t="e">
        <f>SUM(K21:K31)</f>
        <v>#VALUE!</v>
      </c>
    </row>
    <row r="33" spans="1:11" s="8" customFormat="1" ht="15" customHeight="1">
      <c r="A33" s="8" t="s">
        <v>190</v>
      </c>
      <c r="B33" s="98">
        <f>IF('Input sheet'!B16="Yes",'Operating lease converter'!F33,0)</f>
        <v>0</v>
      </c>
    </row>
    <row r="34" spans="1:11" s="8" customFormat="1" ht="15" customHeight="1">
      <c r="G34" s="93" t="s">
        <v>470</v>
      </c>
    </row>
    <row r="35" spans="1:11" s="8" customFormat="1" ht="15" customHeight="1">
      <c r="A35" s="17" t="s">
        <v>191</v>
      </c>
      <c r="G35" s="19" t="s">
        <v>386</v>
      </c>
      <c r="H35" s="19" t="s">
        <v>11</v>
      </c>
      <c r="I35" s="19" t="s">
        <v>163</v>
      </c>
      <c r="J35" s="19" t="s">
        <v>387</v>
      </c>
      <c r="K35" s="19" t="s">
        <v>205</v>
      </c>
    </row>
    <row r="36" spans="1:11" s="8" customFormat="1" ht="15" customHeight="1">
      <c r="A36" s="8" t="s">
        <v>192</v>
      </c>
      <c r="B36" s="94">
        <v>0</v>
      </c>
      <c r="G36" s="136" t="s">
        <v>637</v>
      </c>
      <c r="H36" s="147">
        <v>4100</v>
      </c>
      <c r="I36" s="148">
        <f>IF(G36=0,,VLOOKUP(G36,'Industry Average Beta (US)'!$A$2:$S$95,15))</f>
        <v>3.5707065819089849</v>
      </c>
      <c r="J36" s="149">
        <f>H36*I36</f>
        <v>14639.896985826837</v>
      </c>
      <c r="K36" s="148">
        <f>IF(I36=0,0,VLOOKUP(G36,'Industry Average Beta (US)'!$A$2:$S$95,7))</f>
        <v>0.86937728239149248</v>
      </c>
    </row>
    <row r="37" spans="1:11" s="8" customFormat="1" ht="15" customHeight="1">
      <c r="A37" s="8" t="s">
        <v>193</v>
      </c>
      <c r="B37" s="94">
        <v>70</v>
      </c>
      <c r="G37" s="136" t="s">
        <v>720</v>
      </c>
      <c r="H37" s="147">
        <v>14400</v>
      </c>
      <c r="I37" s="148">
        <f>IF(G37=0,,VLOOKUP(G37,'Industry Average Beta (US)'!$A$2:$S$95,15))</f>
        <v>2.6148005630006752</v>
      </c>
      <c r="J37" s="149">
        <f>H37*I37</f>
        <v>37653.128107209726</v>
      </c>
      <c r="K37" s="148">
        <f>IF(I37=0,0,VLOOKUP(G37,'Industry Average Beta (US)'!$A$2:$S$95,7))</f>
        <v>0.38150035836387236</v>
      </c>
    </row>
    <row r="38" spans="1:11" s="8" customFormat="1" ht="15" customHeight="1">
      <c r="A38" s="8" t="s">
        <v>194</v>
      </c>
      <c r="B38" s="94">
        <v>5</v>
      </c>
      <c r="G38" s="136" t="s">
        <v>716</v>
      </c>
      <c r="H38" s="147">
        <v>100</v>
      </c>
      <c r="I38" s="148">
        <f>IF(G38=0,,VLOOKUP(G38,'Industry Average Beta (US)'!$A$2:$S$95,15))</f>
        <v>11.408763673096576</v>
      </c>
      <c r="J38" s="149">
        <f t="shared" ref="J38:J47" si="4">H38*I38</f>
        <v>1140.8763673096576</v>
      </c>
      <c r="K38" s="148">
        <f>IF(I38=0,0,VLOOKUP(G38,'Industry Average Beta (US)'!$A$2:$S$95,7))</f>
        <v>1.2481994174665423</v>
      </c>
    </row>
    <row r="39" spans="1:11" s="8" customFormat="1" ht="15" customHeight="1">
      <c r="G39" s="136"/>
      <c r="H39" s="147"/>
      <c r="I39" s="148">
        <f>IF(G39=0,,VLOOKUP(G39,'Industry Average Beta (US)'!$A$2:$S$95,15))</f>
        <v>0</v>
      </c>
      <c r="J39" s="149">
        <f t="shared" si="4"/>
        <v>0</v>
      </c>
      <c r="K39" s="148">
        <f>IF(I39=0,0,VLOOKUP(G39,'Industry Average Beta (US)'!$A$2:$S$95,7))</f>
        <v>0</v>
      </c>
    </row>
    <row r="40" spans="1:11" s="95" customFormat="1" ht="15" customHeight="1">
      <c r="A40" s="14" t="s">
        <v>117</v>
      </c>
      <c r="B40" s="8"/>
      <c r="C40" s="8"/>
      <c r="D40" s="8"/>
      <c r="E40" s="8"/>
      <c r="F40" s="8"/>
      <c r="G40" s="136"/>
      <c r="H40" s="147"/>
      <c r="I40" s="148">
        <f>IF(G40=0,,VLOOKUP(G40,'Industry Average Beta (US)'!$A$2:$S$95,15))</f>
        <v>0</v>
      </c>
      <c r="J40" s="149">
        <f t="shared" si="4"/>
        <v>0</v>
      </c>
      <c r="K40" s="148">
        <f>IF(I40=0,0,VLOOKUP(G40,'Industry Average Beta (US)'!$A$2:$S$95,7))</f>
        <v>0</v>
      </c>
    </row>
    <row r="41" spans="1:11" s="8" customFormat="1" ht="15" customHeight="1">
      <c r="A41" s="19" t="s">
        <v>195</v>
      </c>
      <c r="B41" s="19"/>
      <c r="C41" s="99">
        <f>B19*(1-(1+B25)^(-B20))/B25+B18/(1+B25)^B20</f>
        <v>24169.011865515826</v>
      </c>
      <c r="G41" s="136"/>
      <c r="H41" s="147"/>
      <c r="I41" s="148">
        <f>IF(G41=0,,VLOOKUP(G41,'Industry Average Beta (US)'!$A$2:$S$95,15))</f>
        <v>0</v>
      </c>
      <c r="J41" s="149">
        <f t="shared" si="4"/>
        <v>0</v>
      </c>
      <c r="K41" s="148">
        <f>IF(I41=0,0,VLOOKUP(G41,'Industry Average Beta (US)'!$A$2:$S$95,7))</f>
        <v>0</v>
      </c>
    </row>
    <row r="42" spans="1:11" s="8" customFormat="1" ht="15" customHeight="1">
      <c r="A42" s="19" t="s">
        <v>196</v>
      </c>
      <c r="B42" s="19"/>
      <c r="C42" s="99">
        <f>B29*(1-(1+B25)^(-B30))/B25+B28/(1+B25)^B30</f>
        <v>0</v>
      </c>
      <c r="G42" s="136"/>
      <c r="H42" s="147"/>
      <c r="I42" s="148">
        <f>IF(G42=0,,VLOOKUP(G42,'Industry Average Beta (US)'!$A$2:$S$95,15))</f>
        <v>0</v>
      </c>
      <c r="J42" s="149">
        <f t="shared" si="4"/>
        <v>0</v>
      </c>
      <c r="K42" s="148">
        <f>IF(I42=0,0,VLOOKUP(G42,'Industry Average Beta (US)'!$A$2:$S$95,7))</f>
        <v>0</v>
      </c>
    </row>
    <row r="43" spans="1:11" s="8" customFormat="1" ht="15" customHeight="1">
      <c r="A43" s="19" t="s">
        <v>197</v>
      </c>
      <c r="B43" s="19"/>
      <c r="C43" s="99">
        <f>B33</f>
        <v>0</v>
      </c>
      <c r="G43" s="136"/>
      <c r="H43" s="147"/>
      <c r="I43" s="148">
        <f>IF(G43=0,,VLOOKUP(G43,'Industry Average Beta (US)'!$A$2:$S$95,15))</f>
        <v>0</v>
      </c>
      <c r="J43" s="149">
        <f t="shared" si="4"/>
        <v>0</v>
      </c>
      <c r="K43" s="148">
        <f>IF(I43=0,0,VLOOKUP(G43,'Industry Average Beta (US)'!$A$2:$S$95,7))</f>
        <v>0</v>
      </c>
    </row>
    <row r="44" spans="1:11" ht="14">
      <c r="A44" s="19" t="s">
        <v>198</v>
      </c>
      <c r="B44" s="19"/>
      <c r="C44" s="99">
        <f>B31-C42</f>
        <v>0</v>
      </c>
      <c r="D44" s="8"/>
      <c r="E44" s="8"/>
      <c r="F44" s="8"/>
      <c r="G44" s="136"/>
      <c r="H44" s="147"/>
      <c r="I44" s="148">
        <f>IF(G44=0,,VLOOKUP(G44,'Industry Average Beta (US)'!$A$2:$S$95,15))</f>
        <v>0</v>
      </c>
      <c r="J44" s="149">
        <f t="shared" si="4"/>
        <v>0</v>
      </c>
      <c r="K44" s="148">
        <f>IF(I44=0,0,VLOOKUP(G44,'Industry Average Beta (US)'!$A$2:$S$95,7))</f>
        <v>0</v>
      </c>
    </row>
    <row r="45" spans="1:11" ht="14">
      <c r="A45" s="19" t="s">
        <v>206</v>
      </c>
      <c r="B45" s="19"/>
      <c r="C45" s="105">
        <f>IF(B9="Direct Input",B10,B11*(1+(1-B26)*(C48/B48)))</f>
        <v>0.75338854077457484</v>
      </c>
      <c r="D45" s="8"/>
      <c r="E45" s="8"/>
      <c r="F45" s="8"/>
      <c r="G45" s="136"/>
      <c r="H45" s="147"/>
      <c r="I45" s="148">
        <f>IF(G45=0,,VLOOKUP(G45,'Industry Average Beta (US)'!$A$2:$S$95,15))</f>
        <v>0</v>
      </c>
      <c r="J45" s="149">
        <f t="shared" si="4"/>
        <v>0</v>
      </c>
      <c r="K45" s="148">
        <f>IF(I45=0,0,VLOOKUP(G45,'Industry Average Beta (US)'!$A$2:$S$95,7))</f>
        <v>0</v>
      </c>
    </row>
    <row r="46" spans="1:11" ht="14">
      <c r="A46" s="8"/>
      <c r="B46" s="8"/>
      <c r="C46" s="105"/>
      <c r="D46" s="8"/>
      <c r="E46" s="8"/>
      <c r="F46" s="8"/>
      <c r="G46" s="136"/>
      <c r="H46" s="147"/>
      <c r="I46" s="148">
        <f>IF(G46=0,,VLOOKUP(G46,'Industry Average Beta (US)'!$A$2:$S$95,15))</f>
        <v>0</v>
      </c>
      <c r="J46" s="149">
        <f t="shared" si="4"/>
        <v>0</v>
      </c>
      <c r="K46" s="148">
        <f>IF(I46=0,0,VLOOKUP(G46,'Industry Average Beta (US)'!$A$2:$S$95,7))</f>
        <v>0</v>
      </c>
    </row>
    <row r="47" spans="1:11" ht="14">
      <c r="A47" s="95"/>
      <c r="B47" s="96" t="s">
        <v>177</v>
      </c>
      <c r="C47" s="96" t="s">
        <v>199</v>
      </c>
      <c r="D47" s="96" t="s">
        <v>191</v>
      </c>
      <c r="E47" s="96" t="s">
        <v>200</v>
      </c>
      <c r="F47" s="95"/>
      <c r="G47" s="136"/>
      <c r="H47" s="147"/>
      <c r="I47" s="148">
        <f>IF(G47=0,,VLOOKUP(G47,'Industry Average Beta (US)'!$A$2:$S$95,15))</f>
        <v>0</v>
      </c>
      <c r="J47" s="149">
        <f t="shared" si="4"/>
        <v>0</v>
      </c>
      <c r="K47" s="148">
        <f>IF(I47=0,0,VLOOKUP(G47,'Industry Average Beta (US)'!$A$2:$S$95,7))</f>
        <v>0</v>
      </c>
    </row>
    <row r="48" spans="1:11" ht="14">
      <c r="A48" s="19" t="s">
        <v>201</v>
      </c>
      <c r="B48" s="99">
        <f>B6*B7</f>
        <v>1692265.5</v>
      </c>
      <c r="C48" s="99">
        <f>C41+C42+C43</f>
        <v>24169.011865515826</v>
      </c>
      <c r="D48" s="99">
        <f>B36*B37</f>
        <v>0</v>
      </c>
      <c r="E48" s="98">
        <f>SUM(B48:D48)</f>
        <v>1716434.5118655157</v>
      </c>
      <c r="F48" s="8"/>
      <c r="G48" s="150" t="s">
        <v>234</v>
      </c>
      <c r="H48" s="151">
        <f>SUM(H36:H47)</f>
        <v>18600</v>
      </c>
      <c r="I48" s="152"/>
      <c r="J48" s="149">
        <f>SUM(J36:J47)</f>
        <v>53433.90146034622</v>
      </c>
      <c r="K48" s="152">
        <f>K36*(J36/J48)+K37*J37/J48+K38*J38/J48+K39*J39/J48+K40*J40/J48+K41*J41/J48+K42*J42/J48+K43*J43/J48+K44*J44/J48+K45*J45/J48+K46*J46/J48+K47*J47/J48</f>
        <v>0.53367461780215164</v>
      </c>
    </row>
    <row r="49" spans="1:11" ht="15" thickBot="1">
      <c r="A49" s="19" t="s">
        <v>202</v>
      </c>
      <c r="B49" s="100">
        <f>B48/$E$48</f>
        <v>0.98591905971451976</v>
      </c>
      <c r="C49" s="100">
        <f>C48/$E$48</f>
        <v>1.4080940285480284E-2</v>
      </c>
      <c r="D49" s="100">
        <f>D48/$E$48</f>
        <v>0</v>
      </c>
      <c r="E49" s="101">
        <f>SUM(B49:D49)</f>
        <v>1</v>
      </c>
      <c r="F49" s="8"/>
    </row>
    <row r="50" spans="1:11" ht="19" thickBot="1">
      <c r="A50" s="19" t="s">
        <v>203</v>
      </c>
      <c r="B50" s="102">
        <f>B12+C45*B15</f>
        <v>8.4255588175453699E-2</v>
      </c>
      <c r="C50" s="100">
        <f>B25*(1-B26)</f>
        <v>4.7996249999999997E-2</v>
      </c>
      <c r="D50" s="103">
        <f>B38/B37</f>
        <v>7.1428571428571425E-2</v>
      </c>
      <c r="E50" s="104">
        <f>B49*B50+C49*C50+D49*D50</f>
        <v>8.3745022599814103E-2</v>
      </c>
      <c r="F50" s="8"/>
      <c r="G50" s="208" t="s">
        <v>471</v>
      </c>
    </row>
    <row r="51" spans="1:11" ht="14">
      <c r="G51" s="19" t="s">
        <v>386</v>
      </c>
      <c r="H51" s="19" t="s">
        <v>11</v>
      </c>
      <c r="I51" s="19" t="s">
        <v>163</v>
      </c>
      <c r="J51" s="19" t="s">
        <v>387</v>
      </c>
      <c r="K51" s="19" t="s">
        <v>205</v>
      </c>
    </row>
    <row r="52" spans="1:11" ht="14">
      <c r="G52" s="136" t="s">
        <v>637</v>
      </c>
      <c r="H52" s="147">
        <v>4100</v>
      </c>
      <c r="I52" s="148">
        <f>IF(G52=0,,VLOOKUP(G52,'Industry Average Beta (Global)'!$A$2:$O$95,15))</f>
        <v>3.3852461244136229</v>
      </c>
      <c r="J52" s="149">
        <f>H52*I52</f>
        <v>13879.509110095854</v>
      </c>
      <c r="K52" s="148">
        <f>IF(G52=0,,VLOOKUP(G52,'Industry Average Beta (Global)'!$A$2:$O$95,7))</f>
        <v>1.1666842994270814</v>
      </c>
    </row>
    <row r="53" spans="1:11" ht="14">
      <c r="G53" s="136" t="s">
        <v>720</v>
      </c>
      <c r="H53" s="147">
        <v>11400</v>
      </c>
      <c r="I53" s="148">
        <f>IF(G53=0,,VLOOKUP(G53,'Industry Average Beta (Global)'!$A$2:$O$95,15))</f>
        <v>2.2630077844458714</v>
      </c>
      <c r="J53" s="149">
        <f>H53*I53</f>
        <v>25798.288742682933</v>
      </c>
      <c r="K53" s="148">
        <f>IF(G53=0,,VLOOKUP(G53,'Industry Average Beta (Global)'!$A$2:$O$95,7))</f>
        <v>0.49625571682046693</v>
      </c>
    </row>
    <row r="54" spans="1:11" ht="14">
      <c r="G54" s="136" t="s">
        <v>716</v>
      </c>
      <c r="H54" s="147">
        <v>100</v>
      </c>
      <c r="I54" s="148">
        <f>IF(G54=0,,VLOOKUP(G54,'Industry Average Beta (Global)'!$A$2:$O$95,15))</f>
        <v>9.912802757717099</v>
      </c>
      <c r="J54" s="149">
        <f t="shared" ref="J54:J63" si="5">H54*I54</f>
        <v>991.28027577170985</v>
      </c>
      <c r="K54" s="148">
        <f>IF(G54=0,,VLOOKUP(G54,'Industry Average Beta (Global)'!$A$2:$O$95,7))</f>
        <v>1.3309502549413545</v>
      </c>
    </row>
    <row r="55" spans="1:11" ht="14">
      <c r="G55" s="136"/>
      <c r="H55" s="147"/>
      <c r="I55" s="148">
        <f>IF(G55=0,,VLOOKUP(G55,'Industry Average Beta (Global)'!$A$2:$O$95,15))</f>
        <v>0</v>
      </c>
      <c r="J55" s="149">
        <f t="shared" si="5"/>
        <v>0</v>
      </c>
      <c r="K55" s="148">
        <f>IF(G55=0,,VLOOKUP(G55,'Industry Average Beta (Global)'!$A$2:$O$95,7))</f>
        <v>0</v>
      </c>
    </row>
    <row r="56" spans="1:11" ht="14">
      <c r="G56" s="136"/>
      <c r="H56" s="147"/>
      <c r="I56" s="148">
        <f>IF(G56=0,,VLOOKUP(G56,'Industry Average Beta (Global)'!$A$2:$O$95,15))</f>
        <v>0</v>
      </c>
      <c r="J56" s="149">
        <f t="shared" si="5"/>
        <v>0</v>
      </c>
      <c r="K56" s="148">
        <f>IF(G56=0,,VLOOKUP(G56,'Industry Average Beta (Global)'!$A$2:$O$95,7))</f>
        <v>0</v>
      </c>
    </row>
    <row r="57" spans="1:11" ht="14">
      <c r="G57" s="136"/>
      <c r="H57" s="147"/>
      <c r="I57" s="148">
        <f>IF(G57=0,,VLOOKUP(G57,'Industry Average Beta (Global)'!$A$2:$O$95,15))</f>
        <v>0</v>
      </c>
      <c r="J57" s="149">
        <f t="shared" si="5"/>
        <v>0</v>
      </c>
      <c r="K57" s="148">
        <f>IF(G57=0,,VLOOKUP(G57,'Industry Average Beta (Global)'!$A$2:$O$95,7))</f>
        <v>0</v>
      </c>
    </row>
    <row r="58" spans="1:11" ht="14">
      <c r="G58" s="136"/>
      <c r="H58" s="147"/>
      <c r="I58" s="148">
        <f>IF(G58=0,,VLOOKUP(G58,'Industry Average Beta (Global)'!$A$2:$O$95,15))</f>
        <v>0</v>
      </c>
      <c r="J58" s="149">
        <f t="shared" si="5"/>
        <v>0</v>
      </c>
      <c r="K58" s="148">
        <f>IF(G58=0,,VLOOKUP(G58,'Industry Average Beta (Global)'!$A$2:$O$95,7))</f>
        <v>0</v>
      </c>
    </row>
    <row r="59" spans="1:11" ht="14">
      <c r="G59" s="136"/>
      <c r="H59" s="147"/>
      <c r="I59" s="148">
        <f>IF(G59=0,,VLOOKUP(G59,'Industry Average Beta (Global)'!$A$2:$O$95,15))</f>
        <v>0</v>
      </c>
      <c r="J59" s="149">
        <f t="shared" si="5"/>
        <v>0</v>
      </c>
      <c r="K59" s="148">
        <f>IF(G59=0,,VLOOKUP(G59,'Industry Average Beta (Global)'!$A$2:$O$95,7))</f>
        <v>0</v>
      </c>
    </row>
    <row r="60" spans="1:11" ht="14">
      <c r="G60" s="136"/>
      <c r="H60" s="147"/>
      <c r="I60" s="148">
        <f>IF(G60=0,,VLOOKUP(G60,'Industry Average Beta (Global)'!$A$2:$O$95,15))</f>
        <v>0</v>
      </c>
      <c r="J60" s="149">
        <f t="shared" si="5"/>
        <v>0</v>
      </c>
      <c r="K60" s="148">
        <f>IF(G60=0,,VLOOKUP(G60,'Industry Average Beta (Global)'!$A$2:$O$95,7))</f>
        <v>0</v>
      </c>
    </row>
    <row r="61" spans="1:11" ht="14">
      <c r="G61" s="136"/>
      <c r="H61" s="147"/>
      <c r="I61" s="148">
        <f>IF(G61=0,,VLOOKUP(G61,'Industry Average Beta (Global)'!$A$2:$O$95,15))</f>
        <v>0</v>
      </c>
      <c r="J61" s="149">
        <f t="shared" si="5"/>
        <v>0</v>
      </c>
      <c r="K61" s="148">
        <f>IF(G61=0,,VLOOKUP(G61,'Industry Average Beta (Global)'!$A$2:$O$95,7))</f>
        <v>0</v>
      </c>
    </row>
    <row r="62" spans="1:11" ht="14">
      <c r="G62" s="136"/>
      <c r="H62" s="147"/>
      <c r="I62" s="148">
        <f>IF(G62=0,,VLOOKUP(G62,'Industry Average Beta (Global)'!$A$2:$O$95,15))</f>
        <v>0</v>
      </c>
      <c r="J62" s="149">
        <f t="shared" si="5"/>
        <v>0</v>
      </c>
      <c r="K62" s="148">
        <f>IF(G62=0,,VLOOKUP(G62,'Industry Average Beta (Global)'!$A$2:$O$95,7))</f>
        <v>0</v>
      </c>
    </row>
    <row r="63" spans="1:11" ht="14">
      <c r="G63" s="136"/>
      <c r="H63" s="147"/>
      <c r="I63" s="148">
        <f>IF(G63=0,,VLOOKUP(G63,'Industry Average Beta (Global)'!$A$2:$O$95,15))</f>
        <v>0</v>
      </c>
      <c r="J63" s="149">
        <f t="shared" si="5"/>
        <v>0</v>
      </c>
      <c r="K63" s="148">
        <f>IF(G63=0,,VLOOKUP(G63,'Industry Average Beta (Global)'!$A$2:$O$95,7))</f>
        <v>0</v>
      </c>
    </row>
    <row r="64" spans="1:11" ht="14">
      <c r="G64" s="150" t="s">
        <v>234</v>
      </c>
      <c r="H64" s="151">
        <f>SUM(H52:H63)</f>
        <v>15600</v>
      </c>
      <c r="I64" s="152"/>
      <c r="J64" s="149">
        <f>SUM(J52:J63)</f>
        <v>40669.078128550493</v>
      </c>
      <c r="K64" s="152">
        <f>K52*(J52/J64)+K53*J53/J64+K54*J54/J64+K55*J55/J64+K56*J56/J64+K57*J57/J64+K58*J58/J64+K59*J59/J64+K60*J60/J64+K61*J61/J64+K62*J62/J64+K63*J63/J64</f>
        <v>0.74540411944377261</v>
      </c>
    </row>
  </sheetData>
  <mergeCells count="2">
    <mergeCell ref="M5:Q19"/>
    <mergeCell ref="A1:K2"/>
  </mergeCells>
  <pageMargins left="0.75" right="0.75" top="1" bottom="1" header="0.5" footer="0.5"/>
  <pageSetup orientation="portrait" horizontalDpi="4294967292" verticalDpi="4294967292"/>
  <headerFooter alignWithMargins="0"/>
  <legacyDrawing r:id="rId1"/>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800-000000000000}">
          <x14:formula1>
            <xm:f>'Answer keys'!$F$2:$F$6</xm:f>
          </x14:formula1>
          <xm:sqref>B9</xm:sqref>
        </x14:dataValidation>
        <x14:dataValidation type="list" allowBlank="1" showInputMessage="1" showErrorMessage="1" xr:uid="{00000000-0002-0000-0800-000001000000}">
          <x14:formula1>
            <xm:f>'Answer keys'!$C$2:$C$5</xm:f>
          </x14:formula1>
          <xm:sqref>B13</xm:sqref>
        </x14:dataValidation>
        <x14:dataValidation type="list" allowBlank="1" showInputMessage="1" showErrorMessage="1" xr:uid="{00000000-0002-0000-0800-000002000000}">
          <x14:formula1>
            <xm:f>'Answer keys'!$D$2:$D$4</xm:f>
          </x14:formula1>
          <xm:sqref>B21</xm:sqref>
        </x14:dataValidation>
        <x14:dataValidation type="list" allowBlank="1" showInputMessage="1" showErrorMessage="1" xr:uid="{00000000-0002-0000-0800-000003000000}">
          <x14:formula1>
            <xm:f>'Answer keys'!$E$2:$E$3</xm:f>
          </x14:formula1>
          <xm:sqref>B24</xm:sqref>
        </x14:dataValidation>
        <x14:dataValidation type="list" allowBlank="1" showInputMessage="1" showErrorMessage="1" xr:uid="{00000000-0002-0000-0800-000005000000}">
          <x14:formula1>
            <xm:f>'Industry Average Beta (US)'!$A$2:$A$95</xm:f>
          </x14:formula1>
          <xm:sqref>G36:G47</xm:sqref>
        </x14:dataValidation>
        <x14:dataValidation type="list" allowBlank="1" showInputMessage="1" showErrorMessage="1" xr:uid="{00000000-0002-0000-0800-000007000000}">
          <x14:formula1>
            <xm:f>'Industry Average Beta (Global)'!$A$2:$A$95</xm:f>
          </x14:formula1>
          <xm:sqref>G52:G63</xm:sqref>
        </x14:dataValidation>
        <x14:dataValidation type="list" allowBlank="1" showInputMessage="1" showErrorMessage="1" xr:uid="{4AF2EE2E-6730-2641-9120-5D88C4C3C2F0}">
          <x14:formula1>
            <xm:f>'Answer keys'!$G$2:$G$16</xm:f>
          </x14:formula1>
          <xm:sqref>B23</xm:sqref>
        </x14:dataValidation>
        <x14:dataValidation type="list" allowBlank="1" showInputMessage="1" showErrorMessage="1" xr:uid="{D1CF3BBB-EEC3-F149-B56B-8213DBD42B6F}">
          <x14:formula1>
            <xm:f>'Country equity risk premiums'!$A$5:$A$190</xm:f>
          </x14:formula1>
          <xm:sqref>G5:G15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40"/>
  <sheetViews>
    <sheetView workbookViewId="0">
      <selection activeCell="B16" sqref="B16"/>
    </sheetView>
  </sheetViews>
  <sheetFormatPr baseColWidth="10" defaultRowHeight="13"/>
  <sheetData>
    <row r="1" spans="1:10" s="6" customFormat="1" ht="18">
      <c r="A1" s="29" t="s">
        <v>397</v>
      </c>
      <c r="B1" s="29"/>
      <c r="C1" s="29"/>
      <c r="D1" s="29"/>
      <c r="E1" s="29"/>
      <c r="F1" s="29"/>
      <c r="G1" s="29"/>
      <c r="H1" s="29"/>
      <c r="I1" s="29"/>
      <c r="J1" s="29"/>
    </row>
    <row r="2" spans="1:10" s="8" customFormat="1">
      <c r="A2" s="8" t="s">
        <v>398</v>
      </c>
    </row>
    <row r="3" spans="1:10" s="8" customFormat="1">
      <c r="A3" s="8" t="s">
        <v>399</v>
      </c>
    </row>
    <row r="4" spans="1:10" s="8" customFormat="1"/>
    <row r="5" spans="1:10" s="8" customFormat="1">
      <c r="A5" s="17" t="s">
        <v>6</v>
      </c>
    </row>
    <row r="6" spans="1:10" s="8" customFormat="1">
      <c r="A6" s="8" t="s">
        <v>400</v>
      </c>
      <c r="F6" s="109">
        <v>5</v>
      </c>
      <c r="G6" s="8" t="s">
        <v>401</v>
      </c>
    </row>
    <row r="7" spans="1:10" s="8" customFormat="1">
      <c r="A7" s="8" t="s">
        <v>402</v>
      </c>
      <c r="F7" s="33">
        <v>8643</v>
      </c>
      <c r="G7" s="8" t="s">
        <v>403</v>
      </c>
    </row>
    <row r="8" spans="1:10" s="8" customFormat="1">
      <c r="A8" s="8" t="s">
        <v>404</v>
      </c>
    </row>
    <row r="9" spans="1:10" s="8" customFormat="1">
      <c r="A9" s="8" t="s">
        <v>405</v>
      </c>
    </row>
    <row r="10" spans="1:10" s="158" customFormat="1">
      <c r="A10" s="156" t="s">
        <v>113</v>
      </c>
      <c r="B10" s="156" t="s">
        <v>406</v>
      </c>
      <c r="C10" s="157"/>
      <c r="D10" s="157"/>
      <c r="E10" s="157"/>
      <c r="F10" s="157"/>
      <c r="G10" s="157"/>
      <c r="H10" s="157"/>
      <c r="I10" s="157"/>
    </row>
    <row r="11" spans="1:10" s="158" customFormat="1">
      <c r="A11" s="159">
        <v>-1</v>
      </c>
      <c r="B11" s="160">
        <v>3464</v>
      </c>
      <c r="C11" s="157" t="s">
        <v>407</v>
      </c>
      <c r="D11" s="157"/>
      <c r="E11" s="157"/>
      <c r="F11" s="157"/>
      <c r="G11" s="157"/>
      <c r="H11" s="157"/>
      <c r="I11" s="157"/>
    </row>
    <row r="12" spans="1:10" s="158" customFormat="1">
      <c r="A12" s="159">
        <f>IF((0-A11)&lt;$F$6,IF(A11&gt;-1,,A11-1),)</f>
        <v>-2</v>
      </c>
      <c r="B12" s="160">
        <v>2105</v>
      </c>
      <c r="C12" s="157" t="s">
        <v>408</v>
      </c>
      <c r="D12" s="157"/>
      <c r="E12" s="157"/>
      <c r="F12" s="157"/>
      <c r="G12" s="157"/>
      <c r="H12" s="157"/>
      <c r="I12" s="157"/>
    </row>
    <row r="13" spans="1:10" s="158" customFormat="1">
      <c r="A13" s="159">
        <f t="shared" ref="A13:A20" si="0">IF((0-A12)&lt;$F$6,IF(A12&gt;-1,,A12-1),)</f>
        <v>-3</v>
      </c>
      <c r="B13" s="160">
        <v>1800</v>
      </c>
      <c r="C13" s="157"/>
      <c r="D13" s="157"/>
      <c r="E13" s="157"/>
      <c r="F13" s="157"/>
      <c r="G13" s="157"/>
      <c r="H13" s="157"/>
      <c r="I13" s="157"/>
    </row>
    <row r="14" spans="1:10" s="158" customFormat="1">
      <c r="A14" s="159">
        <f t="shared" si="0"/>
        <v>-4</v>
      </c>
      <c r="B14" s="160">
        <v>1600</v>
      </c>
      <c r="C14" s="157"/>
      <c r="D14" s="157"/>
      <c r="E14" s="157"/>
      <c r="F14" s="157"/>
      <c r="G14" s="157"/>
      <c r="H14" s="157"/>
      <c r="I14" s="157"/>
    </row>
    <row r="15" spans="1:10" s="158" customFormat="1">
      <c r="A15" s="159">
        <f t="shared" si="0"/>
        <v>-5</v>
      </c>
      <c r="B15" s="160">
        <v>1200</v>
      </c>
      <c r="C15" s="157"/>
      <c r="D15" s="157"/>
      <c r="E15" s="157"/>
      <c r="F15" s="157"/>
      <c r="G15" s="157"/>
      <c r="H15" s="157"/>
      <c r="I15" s="157"/>
    </row>
    <row r="16" spans="1:10" s="158" customFormat="1">
      <c r="A16" s="159">
        <f t="shared" si="0"/>
        <v>0</v>
      </c>
      <c r="B16" s="160"/>
      <c r="C16" s="157"/>
      <c r="D16" s="157"/>
      <c r="E16" s="157"/>
      <c r="F16" s="157"/>
      <c r="G16" s="157"/>
      <c r="H16" s="157"/>
      <c r="I16" s="157"/>
    </row>
    <row r="17" spans="1:9" s="158" customFormat="1">
      <c r="A17" s="159">
        <f t="shared" si="0"/>
        <v>0</v>
      </c>
      <c r="B17" s="160"/>
      <c r="C17" s="157"/>
      <c r="D17" s="157"/>
      <c r="E17" s="157"/>
      <c r="F17" s="157"/>
      <c r="G17" s="157"/>
      <c r="H17" s="157"/>
      <c r="I17" s="157"/>
    </row>
    <row r="18" spans="1:9" s="158" customFormat="1">
      <c r="A18" s="159">
        <f t="shared" si="0"/>
        <v>0</v>
      </c>
      <c r="B18" s="160"/>
      <c r="C18" s="157"/>
      <c r="D18" s="157"/>
      <c r="E18" s="157"/>
      <c r="F18" s="157"/>
      <c r="G18" s="157"/>
      <c r="H18" s="157"/>
      <c r="I18" s="157"/>
    </row>
    <row r="19" spans="1:9" s="158" customFormat="1">
      <c r="A19" s="159">
        <f t="shared" si="0"/>
        <v>0</v>
      </c>
      <c r="B19" s="160"/>
      <c r="C19" s="157"/>
      <c r="D19" s="157"/>
      <c r="E19" s="157"/>
      <c r="F19" s="157"/>
      <c r="G19" s="157"/>
      <c r="H19" s="157"/>
      <c r="I19" s="157"/>
    </row>
    <row r="20" spans="1:9" s="158" customFormat="1">
      <c r="A20" s="159">
        <f t="shared" si="0"/>
        <v>0</v>
      </c>
      <c r="B20" s="160"/>
      <c r="C20" s="157"/>
      <c r="D20" s="157"/>
      <c r="E20" s="157"/>
      <c r="F20" s="157"/>
      <c r="G20" s="157"/>
      <c r="H20" s="157"/>
      <c r="I20" s="157"/>
    </row>
    <row r="21" spans="1:9" s="158" customFormat="1">
      <c r="A21" s="157"/>
      <c r="B21" s="157"/>
      <c r="C21" s="157"/>
      <c r="D21" s="157"/>
      <c r="E21" s="157"/>
      <c r="F21" s="157"/>
      <c r="G21" s="157"/>
      <c r="H21" s="157"/>
      <c r="I21" s="157"/>
    </row>
    <row r="22" spans="1:9" s="158" customFormat="1">
      <c r="A22" s="161" t="s">
        <v>117</v>
      </c>
      <c r="B22" s="157"/>
      <c r="C22" s="157"/>
      <c r="D22" s="157"/>
      <c r="E22" s="157"/>
      <c r="F22" s="157"/>
      <c r="G22" s="157"/>
      <c r="H22" s="157"/>
      <c r="I22" s="157"/>
    </row>
    <row r="23" spans="1:9" s="158" customFormat="1">
      <c r="A23" s="156" t="s">
        <v>113</v>
      </c>
      <c r="B23" s="156" t="s">
        <v>409</v>
      </c>
      <c r="C23" s="162" t="s">
        <v>410</v>
      </c>
      <c r="D23" s="163"/>
      <c r="E23" s="157" t="s">
        <v>411</v>
      </c>
      <c r="F23" s="157"/>
      <c r="G23" s="157"/>
      <c r="H23" s="157"/>
      <c r="I23" s="157"/>
    </row>
    <row r="24" spans="1:9" s="158" customFormat="1">
      <c r="A24" s="156" t="s">
        <v>412</v>
      </c>
      <c r="B24" s="156">
        <f>F7</f>
        <v>8643</v>
      </c>
      <c r="C24" s="156">
        <f>1</f>
        <v>1</v>
      </c>
      <c r="D24" s="156">
        <f>B24*C24</f>
        <v>8643</v>
      </c>
      <c r="E24" s="157"/>
      <c r="F24" s="157"/>
      <c r="G24" s="157"/>
      <c r="H24" s="157"/>
      <c r="I24" s="157"/>
    </row>
    <row r="25" spans="1:9" s="158" customFormat="1">
      <c r="A25" s="159">
        <f>A11</f>
        <v>-1</v>
      </c>
      <c r="B25" s="156">
        <f>B11</f>
        <v>3464</v>
      </c>
      <c r="C25" s="156">
        <f>IF(A25&lt;0,($F$6+A25)/$F$6,0)</f>
        <v>0.8</v>
      </c>
      <c r="D25" s="156">
        <f>B25*C25</f>
        <v>2771.2000000000003</v>
      </c>
      <c r="E25" s="164">
        <f t="shared" ref="E25:E34" si="1">IF(A25&lt;0,B25/$F$6,0)</f>
        <v>692.8</v>
      </c>
      <c r="F25" s="157"/>
      <c r="G25" s="157"/>
      <c r="H25" s="157"/>
      <c r="I25" s="157"/>
    </row>
    <row r="26" spans="1:9" s="158" customFormat="1">
      <c r="A26" s="159">
        <f t="shared" ref="A26:B34" si="2">A12</f>
        <v>-2</v>
      </c>
      <c r="B26" s="156">
        <f t="shared" si="2"/>
        <v>2105</v>
      </c>
      <c r="C26" s="156">
        <f>IF(A26&lt;0,($F$6+A26)/$F$6,0)</f>
        <v>0.6</v>
      </c>
      <c r="D26" s="156">
        <f t="shared" ref="D26:D34" si="3">B26*C26</f>
        <v>1263</v>
      </c>
      <c r="E26" s="164">
        <f t="shared" si="1"/>
        <v>421</v>
      </c>
      <c r="F26" s="157"/>
      <c r="G26" s="157"/>
      <c r="H26" s="157"/>
      <c r="I26" s="157"/>
    </row>
    <row r="27" spans="1:9" s="158" customFormat="1">
      <c r="A27" s="159">
        <f t="shared" si="2"/>
        <v>-3</v>
      </c>
      <c r="B27" s="156">
        <f t="shared" si="2"/>
        <v>1800</v>
      </c>
      <c r="C27" s="156">
        <f>IF(A27&lt;0,($F$6+A27)/$F$6,0)</f>
        <v>0.4</v>
      </c>
      <c r="D27" s="156">
        <f t="shared" si="3"/>
        <v>720</v>
      </c>
      <c r="E27" s="164">
        <f t="shared" si="1"/>
        <v>360</v>
      </c>
      <c r="F27" s="157"/>
      <c r="G27" s="157"/>
      <c r="H27" s="157"/>
      <c r="I27" s="157"/>
    </row>
    <row r="28" spans="1:9" s="158" customFormat="1">
      <c r="A28" s="159">
        <f t="shared" si="2"/>
        <v>-4</v>
      </c>
      <c r="B28" s="156">
        <f t="shared" si="2"/>
        <v>1600</v>
      </c>
      <c r="C28" s="156">
        <f t="shared" ref="C28:C34" si="4">IF(A28&lt;0,($F$6+A28)/$F$6,0)</f>
        <v>0.2</v>
      </c>
      <c r="D28" s="156">
        <f t="shared" si="3"/>
        <v>320</v>
      </c>
      <c r="E28" s="164">
        <f t="shared" si="1"/>
        <v>320</v>
      </c>
      <c r="F28" s="157"/>
      <c r="G28" s="157"/>
      <c r="H28" s="157"/>
      <c r="I28" s="157"/>
    </row>
    <row r="29" spans="1:9" s="158" customFormat="1">
      <c r="A29" s="159">
        <f t="shared" si="2"/>
        <v>-5</v>
      </c>
      <c r="B29" s="156">
        <f t="shared" si="2"/>
        <v>1200</v>
      </c>
      <c r="C29" s="156">
        <f t="shared" si="4"/>
        <v>0</v>
      </c>
      <c r="D29" s="156">
        <f t="shared" si="3"/>
        <v>0</v>
      </c>
      <c r="E29" s="164">
        <f t="shared" si="1"/>
        <v>240</v>
      </c>
      <c r="F29" s="157"/>
      <c r="G29" s="157"/>
      <c r="H29" s="157"/>
      <c r="I29" s="157"/>
    </row>
    <row r="30" spans="1:9" s="158" customFormat="1">
      <c r="A30" s="159">
        <f t="shared" si="2"/>
        <v>0</v>
      </c>
      <c r="B30" s="156">
        <f t="shared" si="2"/>
        <v>0</v>
      </c>
      <c r="C30" s="156">
        <f t="shared" si="4"/>
        <v>0</v>
      </c>
      <c r="D30" s="156">
        <f t="shared" si="3"/>
        <v>0</v>
      </c>
      <c r="E30" s="164">
        <f t="shared" si="1"/>
        <v>0</v>
      </c>
      <c r="F30" s="157"/>
      <c r="G30" s="157"/>
      <c r="H30" s="157"/>
      <c r="I30" s="157"/>
    </row>
    <row r="31" spans="1:9" s="158" customFormat="1">
      <c r="A31" s="159">
        <f t="shared" si="2"/>
        <v>0</v>
      </c>
      <c r="B31" s="156">
        <f t="shared" si="2"/>
        <v>0</v>
      </c>
      <c r="C31" s="156">
        <f t="shared" si="4"/>
        <v>0</v>
      </c>
      <c r="D31" s="156">
        <f t="shared" si="3"/>
        <v>0</v>
      </c>
      <c r="E31" s="164">
        <f t="shared" si="1"/>
        <v>0</v>
      </c>
      <c r="F31" s="157"/>
      <c r="G31" s="157"/>
      <c r="H31" s="157"/>
      <c r="I31" s="157"/>
    </row>
    <row r="32" spans="1:9" s="158" customFormat="1">
      <c r="A32" s="159">
        <f t="shared" si="2"/>
        <v>0</v>
      </c>
      <c r="B32" s="156">
        <f t="shared" si="2"/>
        <v>0</v>
      </c>
      <c r="C32" s="156">
        <f t="shared" si="4"/>
        <v>0</v>
      </c>
      <c r="D32" s="156">
        <f t="shared" si="3"/>
        <v>0</v>
      </c>
      <c r="E32" s="164">
        <f t="shared" si="1"/>
        <v>0</v>
      </c>
      <c r="F32" s="157"/>
      <c r="G32" s="157"/>
      <c r="H32" s="157"/>
      <c r="I32" s="157"/>
    </row>
    <row r="33" spans="1:9" s="158" customFormat="1">
      <c r="A33" s="159">
        <f t="shared" si="2"/>
        <v>0</v>
      </c>
      <c r="B33" s="156">
        <f t="shared" si="2"/>
        <v>0</v>
      </c>
      <c r="C33" s="156">
        <f t="shared" si="4"/>
        <v>0</v>
      </c>
      <c r="D33" s="156">
        <f t="shared" si="3"/>
        <v>0</v>
      </c>
      <c r="E33" s="164">
        <f t="shared" si="1"/>
        <v>0</v>
      </c>
      <c r="F33" s="157"/>
      <c r="G33" s="157"/>
      <c r="H33" s="157"/>
      <c r="I33" s="157"/>
    </row>
    <row r="34" spans="1:9" s="158" customFormat="1" ht="16" customHeight="1" thickBot="1">
      <c r="A34" s="159">
        <f t="shared" si="2"/>
        <v>0</v>
      </c>
      <c r="B34" s="156">
        <f t="shared" si="2"/>
        <v>0</v>
      </c>
      <c r="C34" s="156">
        <f t="shared" si="4"/>
        <v>0</v>
      </c>
      <c r="D34" s="165">
        <f t="shared" si="3"/>
        <v>0</v>
      </c>
      <c r="E34" s="166">
        <f t="shared" si="1"/>
        <v>0</v>
      </c>
      <c r="F34" s="157"/>
      <c r="G34" s="157"/>
      <c r="H34" s="157"/>
      <c r="I34" s="157"/>
    </row>
    <row r="35" spans="1:9" s="8" customFormat="1" ht="14" thickBot="1">
      <c r="A35" s="8" t="s">
        <v>413</v>
      </c>
      <c r="D35" s="167">
        <f>SUM(D24:D34)</f>
        <v>13717.2</v>
      </c>
      <c r="E35" s="25">
        <f>SUM(E25:E34)</f>
        <v>2033.8</v>
      </c>
    </row>
    <row r="36" spans="1:9" ht="14" thickBot="1"/>
    <row r="37" spans="1:9" s="8" customFormat="1" ht="14" thickBot="1">
      <c r="A37" s="8" t="s">
        <v>414</v>
      </c>
      <c r="D37" s="167">
        <f>E35</f>
        <v>2033.8</v>
      </c>
    </row>
    <row r="38" spans="1:9" s="8" customFormat="1" ht="14" thickBot="1"/>
    <row r="39" spans="1:9" s="8" customFormat="1">
      <c r="A39" s="8" t="s">
        <v>415</v>
      </c>
      <c r="D39" s="168">
        <f>F7-D37</f>
        <v>6609.2</v>
      </c>
      <c r="E39" s="8" t="s">
        <v>416</v>
      </c>
    </row>
    <row r="40" spans="1:9" ht="14">
      <c r="A40" t="s">
        <v>417</v>
      </c>
      <c r="D40" s="169">
        <f>D39*'Input sheet'!B24</f>
        <v>1652.3</v>
      </c>
      <c r="E40" s="8"/>
    </row>
  </sheetData>
  <conditionalFormatting sqref="B11:B20">
    <cfRule type="cellIs" dxfId="0" priority="1" stopIfTrue="1" operator="equal">
      <formula>0</formula>
    </cfRule>
  </conditionalFormatting>
  <pageMargins left="0.75" right="0.75" top="1" bottom="1" header="0.5" footer="0.5"/>
  <headerFooter alignWithMargins="0"/>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4"/>
  <sheetViews>
    <sheetView zoomScale="125" zoomScaleNormal="125" workbookViewId="0">
      <selection activeCell="E5" sqref="E5"/>
    </sheetView>
  </sheetViews>
  <sheetFormatPr baseColWidth="10" defaultRowHeight="13"/>
  <sheetData>
    <row r="1" spans="1:11" s="6" customFormat="1" ht="18">
      <c r="A1" s="29" t="s">
        <v>110</v>
      </c>
      <c r="B1" s="29"/>
      <c r="C1" s="29"/>
      <c r="D1" s="29"/>
      <c r="E1" s="29"/>
      <c r="F1" s="29"/>
      <c r="G1" s="29"/>
      <c r="H1" s="29"/>
      <c r="I1" s="29"/>
      <c r="J1" s="29"/>
      <c r="K1" s="29"/>
    </row>
    <row r="2" spans="1:11" s="6" customFormat="1" ht="18">
      <c r="A2" s="29" t="s">
        <v>155</v>
      </c>
      <c r="B2" s="29"/>
      <c r="C2" s="29"/>
      <c r="D2" s="29"/>
      <c r="E2" s="29"/>
      <c r="F2" s="29"/>
      <c r="G2" s="29"/>
      <c r="H2" s="29"/>
      <c r="I2" s="29"/>
      <c r="J2" s="29"/>
      <c r="K2" s="29"/>
    </row>
    <row r="3" spans="1:11" s="17" customFormat="1">
      <c r="A3" s="17" t="s">
        <v>6</v>
      </c>
    </row>
    <row r="4" spans="1:11" s="8" customFormat="1">
      <c r="A4" s="8" t="s">
        <v>111</v>
      </c>
      <c r="E4" s="33">
        <v>275.64999999999998</v>
      </c>
    </row>
    <row r="5" spans="1:11" s="15" customFormat="1">
      <c r="A5" s="15" t="s">
        <v>112</v>
      </c>
    </row>
    <row r="6" spans="1:11" s="8" customFormat="1">
      <c r="A6" s="30" t="s">
        <v>113</v>
      </c>
      <c r="B6" s="30" t="s">
        <v>114</v>
      </c>
      <c r="C6" s="8" t="s">
        <v>115</v>
      </c>
    </row>
    <row r="7" spans="1:11" s="8" customFormat="1">
      <c r="A7" s="30">
        <v>1</v>
      </c>
      <c r="B7" s="240">
        <v>209.2</v>
      </c>
    </row>
    <row r="8" spans="1:11" s="8" customFormat="1">
      <c r="A8" s="30">
        <v>2</v>
      </c>
      <c r="B8" s="240">
        <v>258.39999999999998</v>
      </c>
    </row>
    <row r="9" spans="1:11" s="8" customFormat="1">
      <c r="A9" s="30">
        <v>3</v>
      </c>
      <c r="B9" s="240">
        <v>228.7</v>
      </c>
    </row>
    <row r="10" spans="1:11" s="8" customFormat="1">
      <c r="A10" s="30">
        <v>4</v>
      </c>
      <c r="B10" s="240">
        <v>182.3</v>
      </c>
    </row>
    <row r="11" spans="1:11" s="8" customFormat="1">
      <c r="A11" s="30">
        <v>5</v>
      </c>
      <c r="B11" s="240">
        <v>153.5</v>
      </c>
    </row>
    <row r="12" spans="1:11" s="8" customFormat="1" ht="14">
      <c r="A12" s="30" t="s">
        <v>116</v>
      </c>
      <c r="B12" s="239">
        <v>477.9</v>
      </c>
    </row>
    <row r="13" spans="1:11" s="8" customFormat="1"/>
    <row r="14" spans="1:11" s="31" customFormat="1" ht="17" thickBot="1">
      <c r="A14" s="31" t="s">
        <v>117</v>
      </c>
    </row>
    <row r="15" spans="1:11" s="8" customFormat="1" ht="14" thickBot="1">
      <c r="A15" s="8" t="s">
        <v>118</v>
      </c>
      <c r="C15" s="69">
        <f>'Cost of capital worksheet'!B25</f>
        <v>6.3994999999999996E-2</v>
      </c>
      <c r="D15" s="8" t="s">
        <v>230</v>
      </c>
    </row>
    <row r="16" spans="1:11" s="8" customFormat="1"/>
    <row r="17" spans="1:7" s="8" customFormat="1">
      <c r="D17" s="34"/>
    </row>
    <row r="18" spans="1:7" s="8" customFormat="1">
      <c r="A18" s="8" t="s">
        <v>119</v>
      </c>
      <c r="D18" s="35">
        <f>IF(B12&gt;0,ROUND(B12/AVERAGE(B7:B11),0),0)</f>
        <v>2</v>
      </c>
      <c r="E18" s="8" t="s">
        <v>120</v>
      </c>
    </row>
    <row r="19" spans="1:7" s="17" customFormat="1">
      <c r="E19" s="8" t="s">
        <v>121</v>
      </c>
    </row>
    <row r="20" spans="1:7" s="15" customFormat="1">
      <c r="A20" s="15" t="s">
        <v>122</v>
      </c>
    </row>
    <row r="21" spans="1:7" s="8" customFormat="1">
      <c r="A21" s="30" t="s">
        <v>113</v>
      </c>
      <c r="B21" s="30" t="s">
        <v>114</v>
      </c>
      <c r="C21" s="30" t="s">
        <v>123</v>
      </c>
    </row>
    <row r="22" spans="1:7" s="8" customFormat="1">
      <c r="A22" s="19">
        <f>A7</f>
        <v>1</v>
      </c>
      <c r="B22" s="28">
        <f>B7</f>
        <v>209.2</v>
      </c>
      <c r="C22" s="9">
        <f>B22/(1+$C$15)^A22</f>
        <v>196.6174653076377</v>
      </c>
    </row>
    <row r="23" spans="1:7" s="8" customFormat="1">
      <c r="A23" s="19">
        <f t="shared" ref="A23:B26" si="0">A8</f>
        <v>2</v>
      </c>
      <c r="B23" s="28">
        <f t="shared" si="0"/>
        <v>258.39999999999998</v>
      </c>
      <c r="C23" s="9">
        <f>B23/(1+$C$15)^A23</f>
        <v>228.25133962892488</v>
      </c>
    </row>
    <row r="24" spans="1:7" s="8" customFormat="1">
      <c r="A24" s="19">
        <f t="shared" si="0"/>
        <v>3</v>
      </c>
      <c r="B24" s="28">
        <f t="shared" si="0"/>
        <v>228.7</v>
      </c>
      <c r="C24" s="9">
        <f>B24/(1+$C$15)^A24</f>
        <v>189.86608845105727</v>
      </c>
    </row>
    <row r="25" spans="1:7" s="8" customFormat="1">
      <c r="A25" s="19">
        <f t="shared" si="0"/>
        <v>4</v>
      </c>
      <c r="B25" s="28">
        <f t="shared" si="0"/>
        <v>182.3</v>
      </c>
      <c r="C25" s="9">
        <f>B25/(1+$C$15)^A25</f>
        <v>142.24215399615198</v>
      </c>
    </row>
    <row r="26" spans="1:7" s="8" customFormat="1">
      <c r="A26" s="19">
        <f t="shared" si="0"/>
        <v>5</v>
      </c>
      <c r="B26" s="28">
        <f t="shared" si="0"/>
        <v>153.5</v>
      </c>
      <c r="C26" s="9">
        <f>B26/(1+$C$15)^A26</f>
        <v>112.56683214005677</v>
      </c>
    </row>
    <row r="27" spans="1:7" s="8" customFormat="1" ht="14" thickBot="1">
      <c r="A27" s="36" t="str">
        <f>A12</f>
        <v>6 and beyond</v>
      </c>
      <c r="B27" s="37">
        <f>IF(B12&gt;0,IF(D18&gt;0,B12/D18,B12),0)</f>
        <v>238.95</v>
      </c>
      <c r="C27" s="38">
        <f>IF(D18&gt;0,(B27*(1-(1+C15)^(-D18))/C15)/(1+$C$15)^5,B27/(1+C15)^6)</f>
        <v>319.47624117656369</v>
      </c>
      <c r="D27" s="8" t="s">
        <v>124</v>
      </c>
    </row>
    <row r="28" spans="1:7" s="8" customFormat="1" ht="14" thickBot="1">
      <c r="A28" s="32" t="s">
        <v>125</v>
      </c>
      <c r="B28" s="39"/>
      <c r="C28" s="40">
        <f>SUM(C22:C27)</f>
        <v>1189.0201207003925</v>
      </c>
    </row>
    <row r="29" spans="1:7" s="8" customFormat="1"/>
    <row r="30" spans="1:7" s="8" customFormat="1">
      <c r="A30" s="15" t="s">
        <v>126</v>
      </c>
    </row>
    <row r="31" spans="1:7" s="8" customFormat="1" ht="14" thickBot="1">
      <c r="A31" s="8" t="s">
        <v>127</v>
      </c>
      <c r="F31" s="38">
        <f>C28/(5+D18)</f>
        <v>169.86001724291322</v>
      </c>
      <c r="G31" s="8" t="s">
        <v>128</v>
      </c>
    </row>
    <row r="32" spans="1:7" s="8" customFormat="1" ht="14" thickBot="1">
      <c r="A32" s="8" t="s">
        <v>129</v>
      </c>
      <c r="F32" s="70">
        <f>E4-F31</f>
        <v>105.78998275708676</v>
      </c>
      <c r="G32" s="8" t="s">
        <v>131</v>
      </c>
    </row>
    <row r="33" spans="1:7" s="8" customFormat="1" ht="14" thickBot="1">
      <c r="A33" s="8" t="s">
        <v>130</v>
      </c>
      <c r="F33" s="41">
        <f>C28</f>
        <v>1189.0201207003925</v>
      </c>
      <c r="G33" s="8" t="s">
        <v>132</v>
      </c>
    </row>
    <row r="34" spans="1:7" ht="14">
      <c r="A34" s="8" t="s">
        <v>488</v>
      </c>
      <c r="F34" s="209">
        <f>C28/(5+D18)</f>
        <v>169.86001724291322</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15</vt:i4>
      </vt:variant>
      <vt:variant>
        <vt:lpstr>Charts</vt:lpstr>
      </vt:variant>
      <vt:variant>
        <vt:i4>1</vt:i4>
      </vt:variant>
    </vt:vector>
  </HeadingPairs>
  <TitlesOfParts>
    <vt:vector size="16" baseType="lpstr">
      <vt:lpstr>Input sheet</vt:lpstr>
      <vt:lpstr>Valuation output</vt:lpstr>
      <vt:lpstr>Stories to Numbers</vt:lpstr>
      <vt:lpstr>Diagnostics</vt:lpstr>
      <vt:lpstr>Business Value</vt:lpstr>
      <vt:lpstr>Option value</vt:lpstr>
      <vt:lpstr>Cost of capital worksheet</vt:lpstr>
      <vt:lpstr>R&amp; D converter</vt:lpstr>
      <vt:lpstr>Operating lease converter</vt:lpstr>
      <vt:lpstr>Country equity risk premiums</vt:lpstr>
      <vt:lpstr>Synthetic rating</vt:lpstr>
      <vt:lpstr>Industry Average Beta (US)</vt:lpstr>
      <vt:lpstr>Industry Average Beta (Global)</vt:lpstr>
      <vt:lpstr>Trailing 12 month</vt:lpstr>
      <vt:lpstr>Answer keys</vt:lpstr>
      <vt:lpstr>TeslaValue</vt:lpstr>
    </vt:vector>
  </TitlesOfParts>
  <Company>Stern School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Aswath Damodaran</dc:creator>
  <cp:lastModifiedBy>Aswath Damodaran</cp:lastModifiedBy>
  <cp:lastPrinted>2011-01-17T15:04:26Z</cp:lastPrinted>
  <dcterms:created xsi:type="dcterms:W3CDTF">2000-02-22T13:53:50Z</dcterms:created>
  <dcterms:modified xsi:type="dcterms:W3CDTF">2026-06-04T23:45:18Z</dcterms:modified>
</cp:coreProperties>
</file>